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60" yWindow="0" windowWidth="25120" windowHeight="14440" tabRatio="500" activeTab="1"/>
  </bookViews>
  <sheets>
    <sheet name="Annual Capacity Quota &amp; Budget" sheetId="1" r:id="rId1"/>
    <sheet name="Monthly Planning Tool" sheetId="2" r:id="rId2"/>
  </sheets>
  <definedNames>
    <definedName name="_xlnm.Print_Area" localSheetId="0">'Annual Capacity Quota &amp; Budget'!$B$1:$E$63</definedName>
    <definedName name="_xlnm.Print_Area" localSheetId="1">'Monthly Planning Tool'!$B$2:$V$108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2" l="1"/>
  <c r="M9" i="2"/>
  <c r="M8" i="2"/>
  <c r="N8" i="2"/>
  <c r="N10" i="2"/>
  <c r="N9" i="2"/>
  <c r="T8" i="2"/>
  <c r="E21" i="2"/>
  <c r="U21" i="2"/>
  <c r="U42" i="2"/>
  <c r="E18" i="2"/>
  <c r="U18" i="2"/>
  <c r="E16" i="2"/>
  <c r="U16" i="2"/>
  <c r="U38" i="2"/>
  <c r="U40" i="2"/>
  <c r="T21" i="2"/>
  <c r="T42" i="2"/>
  <c r="T18" i="2"/>
  <c r="E15" i="2"/>
  <c r="U15" i="2"/>
  <c r="U37" i="2"/>
  <c r="T16" i="2"/>
  <c r="T38" i="2"/>
  <c r="T40" i="2"/>
  <c r="S21" i="2"/>
  <c r="S42" i="2"/>
  <c r="S18" i="2"/>
  <c r="T15" i="2"/>
  <c r="T37" i="2"/>
  <c r="S16" i="2"/>
  <c r="S38" i="2"/>
  <c r="S40" i="2"/>
  <c r="R21" i="2"/>
  <c r="R42" i="2"/>
  <c r="R18" i="2"/>
  <c r="S15" i="2"/>
  <c r="S37" i="2"/>
  <c r="R16" i="2"/>
  <c r="R38" i="2"/>
  <c r="R40" i="2"/>
  <c r="Q21" i="2"/>
  <c r="Q42" i="2"/>
  <c r="Q18" i="2"/>
  <c r="R15" i="2"/>
  <c r="R37" i="2"/>
  <c r="Q16" i="2"/>
  <c r="Q38" i="2"/>
  <c r="Q40" i="2"/>
  <c r="P21" i="2"/>
  <c r="P42" i="2"/>
  <c r="P18" i="2"/>
  <c r="Q15" i="2"/>
  <c r="Q37" i="2"/>
  <c r="P16" i="2"/>
  <c r="P38" i="2"/>
  <c r="P40" i="2"/>
  <c r="O21" i="2"/>
  <c r="O42" i="2"/>
  <c r="O18" i="2"/>
  <c r="P15" i="2"/>
  <c r="P37" i="2"/>
  <c r="O16" i="2"/>
  <c r="O38" i="2"/>
  <c r="O40" i="2"/>
  <c r="N21" i="2"/>
  <c r="N42" i="2"/>
  <c r="N18" i="2"/>
  <c r="O15" i="2"/>
  <c r="O37" i="2"/>
  <c r="N16" i="2"/>
  <c r="N38" i="2"/>
  <c r="N40" i="2"/>
  <c r="M21" i="2"/>
  <c r="M42" i="2"/>
  <c r="M18" i="2"/>
  <c r="N15" i="2"/>
  <c r="N37" i="2"/>
  <c r="M16" i="2"/>
  <c r="M38" i="2"/>
  <c r="M40" i="2"/>
  <c r="L21" i="2"/>
  <c r="L42" i="2"/>
  <c r="L18" i="2"/>
  <c r="M15" i="2"/>
  <c r="M37" i="2"/>
  <c r="L16" i="2"/>
  <c r="L38" i="2"/>
  <c r="L40" i="2"/>
  <c r="K21" i="2"/>
  <c r="K42" i="2"/>
  <c r="K18" i="2"/>
  <c r="L15" i="2"/>
  <c r="L37" i="2"/>
  <c r="K16" i="2"/>
  <c r="K38" i="2"/>
  <c r="K40" i="2"/>
  <c r="J21" i="2"/>
  <c r="J42" i="2"/>
  <c r="J18" i="2"/>
  <c r="K15" i="2"/>
  <c r="K37" i="2"/>
  <c r="J16" i="2"/>
  <c r="J38" i="2"/>
  <c r="J40" i="2"/>
  <c r="I21" i="2"/>
  <c r="I42" i="2"/>
  <c r="I18" i="2"/>
  <c r="J15" i="2"/>
  <c r="J37" i="2"/>
  <c r="I16" i="2"/>
  <c r="I38" i="2"/>
  <c r="I40" i="2"/>
  <c r="H21" i="2"/>
  <c r="H42" i="2"/>
  <c r="H18" i="2"/>
  <c r="I15" i="2"/>
  <c r="I37" i="2"/>
  <c r="H16" i="2"/>
  <c r="H38" i="2"/>
  <c r="H40" i="2"/>
  <c r="G21" i="2"/>
  <c r="G42" i="2"/>
  <c r="G18" i="2"/>
  <c r="H15" i="2"/>
  <c r="H37" i="2"/>
  <c r="G16" i="2"/>
  <c r="G38" i="2"/>
  <c r="G40" i="2"/>
  <c r="F21" i="2"/>
  <c r="F42" i="2"/>
  <c r="B7" i="1"/>
  <c r="B8" i="1"/>
  <c r="B9" i="1"/>
  <c r="B10" i="1"/>
  <c r="B12" i="1"/>
  <c r="B13" i="1"/>
  <c r="B16" i="1"/>
  <c r="B17" i="1"/>
  <c r="B19" i="1"/>
  <c r="B20" i="1"/>
  <c r="B21" i="1"/>
  <c r="B22" i="1"/>
  <c r="B23" i="1"/>
  <c r="B26" i="1"/>
  <c r="B29" i="1"/>
  <c r="B30" i="1"/>
  <c r="B31" i="1"/>
  <c r="B34" i="1"/>
  <c r="B36" i="1"/>
  <c r="B37" i="1"/>
  <c r="B40" i="1"/>
  <c r="B41" i="1"/>
  <c r="B42" i="1"/>
  <c r="B43" i="1"/>
  <c r="B44" i="1"/>
  <c r="B46" i="1"/>
  <c r="B47" i="1"/>
  <c r="B48" i="1"/>
  <c r="B49" i="1"/>
  <c r="B50" i="1"/>
  <c r="B53" i="1"/>
  <c r="B54" i="1"/>
  <c r="B55" i="1"/>
  <c r="B56" i="1"/>
  <c r="B57" i="1"/>
  <c r="B58" i="1"/>
  <c r="B59" i="1"/>
  <c r="B60" i="1"/>
  <c r="E61" i="1"/>
  <c r="D12" i="1"/>
  <c r="D13" i="1"/>
  <c r="D19" i="1"/>
  <c r="D20" i="1"/>
  <c r="D21" i="1"/>
  <c r="D22" i="1"/>
  <c r="D23" i="1"/>
  <c r="D46" i="1"/>
  <c r="D36" i="1"/>
  <c r="D37" i="1"/>
  <c r="D49" i="1"/>
  <c r="D29" i="1"/>
  <c r="D30" i="1"/>
  <c r="D48" i="1"/>
  <c r="D50" i="1"/>
  <c r="D58" i="1"/>
  <c r="D59" i="1"/>
  <c r="D61" i="1"/>
  <c r="E59" i="1"/>
  <c r="B61" i="1"/>
  <c r="E17" i="2"/>
  <c r="U17" i="2"/>
  <c r="U63" i="2"/>
  <c r="T17" i="2"/>
  <c r="T63" i="2"/>
  <c r="S17" i="2"/>
  <c r="S63" i="2"/>
  <c r="R17" i="2"/>
  <c r="R63" i="2"/>
  <c r="Q17" i="2"/>
  <c r="Q63" i="2"/>
  <c r="P17" i="2"/>
  <c r="P63" i="2"/>
  <c r="O17" i="2"/>
  <c r="O63" i="2"/>
  <c r="N17" i="2"/>
  <c r="N63" i="2"/>
  <c r="M17" i="2"/>
  <c r="M63" i="2"/>
  <c r="L17" i="2"/>
  <c r="L63" i="2"/>
  <c r="K17" i="2"/>
  <c r="K63" i="2"/>
  <c r="J17" i="2"/>
  <c r="J63" i="2"/>
  <c r="I17" i="2"/>
  <c r="I63" i="2"/>
  <c r="H17" i="2"/>
  <c r="H63" i="2"/>
  <c r="G17" i="2"/>
  <c r="G63" i="2"/>
  <c r="F17" i="2"/>
  <c r="F63" i="2"/>
  <c r="C9" i="2"/>
  <c r="C10" i="2"/>
  <c r="C15" i="2"/>
  <c r="C16" i="2"/>
  <c r="C17" i="2"/>
  <c r="C18" i="2"/>
  <c r="C19" i="2"/>
  <c r="C20" i="2"/>
  <c r="C21" i="2"/>
  <c r="C22" i="2"/>
  <c r="C26" i="2"/>
  <c r="C27" i="2"/>
  <c r="C28" i="2"/>
  <c r="C36" i="2"/>
  <c r="C37" i="2"/>
  <c r="C38" i="2"/>
  <c r="C39" i="2"/>
  <c r="C40" i="2"/>
  <c r="C41" i="2"/>
  <c r="C42" i="2"/>
  <c r="C44" i="2"/>
  <c r="C61" i="2"/>
  <c r="C62" i="2"/>
  <c r="C63" i="2"/>
  <c r="C64" i="2"/>
  <c r="C66" i="2"/>
  <c r="C83" i="2"/>
  <c r="C84" i="2"/>
  <c r="C85" i="2"/>
  <c r="C87" i="2"/>
  <c r="C104" i="2"/>
  <c r="C105" i="2"/>
  <c r="C106" i="2"/>
  <c r="K27" i="2"/>
  <c r="K28" i="2"/>
  <c r="K26" i="2"/>
  <c r="D89" i="2"/>
  <c r="F89" i="2"/>
  <c r="G34" i="2"/>
  <c r="G89" i="2"/>
  <c r="H34" i="2"/>
  <c r="H89" i="2"/>
  <c r="I34" i="2"/>
  <c r="I89" i="2"/>
  <c r="J34" i="2"/>
  <c r="J89" i="2"/>
  <c r="K34" i="2"/>
  <c r="K89" i="2"/>
  <c r="L34" i="2"/>
  <c r="L89" i="2"/>
  <c r="M34" i="2"/>
  <c r="M89" i="2"/>
  <c r="N34" i="2"/>
  <c r="N89" i="2"/>
  <c r="O34" i="2"/>
  <c r="O89" i="2"/>
  <c r="P34" i="2"/>
  <c r="P89" i="2"/>
  <c r="Q34" i="2"/>
  <c r="Q89" i="2"/>
  <c r="R34" i="2"/>
  <c r="R89" i="2"/>
  <c r="S34" i="2"/>
  <c r="S89" i="2"/>
  <c r="T34" i="2"/>
  <c r="T89" i="2"/>
  <c r="U34" i="2"/>
  <c r="U89" i="2"/>
  <c r="D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D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D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D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D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D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D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D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D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D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D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D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D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D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F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88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E67" i="2"/>
  <c r="D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D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D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D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D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D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D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D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D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D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D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D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D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D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45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F67" i="2"/>
  <c r="F45" i="2"/>
  <c r="G61" i="2"/>
  <c r="G62" i="2"/>
  <c r="G64" i="2"/>
  <c r="H61" i="2"/>
  <c r="H62" i="2"/>
  <c r="H64" i="2"/>
  <c r="I61" i="2"/>
  <c r="I62" i="2"/>
  <c r="I64" i="2"/>
  <c r="J61" i="2"/>
  <c r="J62" i="2"/>
  <c r="J64" i="2"/>
  <c r="K61" i="2"/>
  <c r="K62" i="2"/>
  <c r="K64" i="2"/>
  <c r="L61" i="2"/>
  <c r="L62" i="2"/>
  <c r="L64" i="2"/>
  <c r="M61" i="2"/>
  <c r="M62" i="2"/>
  <c r="M64" i="2"/>
  <c r="N61" i="2"/>
  <c r="N62" i="2"/>
  <c r="N64" i="2"/>
  <c r="O61" i="2"/>
  <c r="O62" i="2"/>
  <c r="O64" i="2"/>
  <c r="P61" i="2"/>
  <c r="P62" i="2"/>
  <c r="P64" i="2"/>
  <c r="Q61" i="2"/>
  <c r="Q62" i="2"/>
  <c r="Q64" i="2"/>
  <c r="R61" i="2"/>
  <c r="R62" i="2"/>
  <c r="R64" i="2"/>
  <c r="S61" i="2"/>
  <c r="S62" i="2"/>
  <c r="S64" i="2"/>
  <c r="T61" i="2"/>
  <c r="T62" i="2"/>
  <c r="T64" i="2"/>
  <c r="U61" i="2"/>
  <c r="U62" i="2"/>
  <c r="U64" i="2"/>
  <c r="F61" i="2"/>
  <c r="F62" i="2"/>
  <c r="F64" i="2"/>
  <c r="F9" i="2"/>
  <c r="G9" i="2"/>
  <c r="D31" i="1"/>
  <c r="F10" i="2"/>
  <c r="G10" i="2"/>
  <c r="F8" i="2"/>
  <c r="G8" i="2"/>
  <c r="E66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H39" i="2"/>
  <c r="E19" i="2"/>
  <c r="G19" i="2"/>
  <c r="G41" i="2"/>
  <c r="I39" i="2"/>
  <c r="H19" i="2"/>
  <c r="H41" i="2"/>
  <c r="J39" i="2"/>
  <c r="I19" i="2"/>
  <c r="I41" i="2"/>
  <c r="K39" i="2"/>
  <c r="J19" i="2"/>
  <c r="J41" i="2"/>
  <c r="L39" i="2"/>
  <c r="K19" i="2"/>
  <c r="K41" i="2"/>
  <c r="M39" i="2"/>
  <c r="L19" i="2"/>
  <c r="L41" i="2"/>
  <c r="N39" i="2"/>
  <c r="M19" i="2"/>
  <c r="M41" i="2"/>
  <c r="O39" i="2"/>
  <c r="N19" i="2"/>
  <c r="N41" i="2"/>
  <c r="P39" i="2"/>
  <c r="O19" i="2"/>
  <c r="O41" i="2"/>
  <c r="Q39" i="2"/>
  <c r="P19" i="2"/>
  <c r="P41" i="2"/>
  <c r="R39" i="2"/>
  <c r="Q19" i="2"/>
  <c r="Q41" i="2"/>
  <c r="S39" i="2"/>
  <c r="R19" i="2"/>
  <c r="R41" i="2"/>
  <c r="T39" i="2"/>
  <c r="S19" i="2"/>
  <c r="S41" i="2"/>
  <c r="U39" i="2"/>
  <c r="T19" i="2"/>
  <c r="T41" i="2"/>
  <c r="U19" i="2"/>
  <c r="U41" i="2"/>
  <c r="G39" i="2"/>
  <c r="F19" i="2"/>
  <c r="F41" i="2"/>
  <c r="G15" i="2"/>
  <c r="G37" i="2"/>
  <c r="F16" i="2"/>
  <c r="F38" i="2"/>
  <c r="F15" i="2"/>
  <c r="F37" i="2"/>
  <c r="F18" i="2"/>
  <c r="F40" i="2"/>
  <c r="F39" i="2"/>
  <c r="E22" i="2"/>
  <c r="I22" i="2"/>
  <c r="H22" i="2"/>
  <c r="G22" i="2"/>
  <c r="F22" i="2"/>
  <c r="E20" i="2"/>
  <c r="I20" i="2"/>
  <c r="H20" i="2"/>
  <c r="G20" i="2"/>
  <c r="F20" i="2"/>
  <c r="J20" i="2"/>
  <c r="J22" i="2"/>
  <c r="E41" i="2"/>
  <c r="E42" i="2"/>
  <c r="E39" i="2"/>
  <c r="E40" i="2"/>
  <c r="M10" i="2"/>
  <c r="K20" i="2"/>
  <c r="L20" i="2"/>
  <c r="M20" i="2"/>
  <c r="N20" i="2"/>
  <c r="O20" i="2"/>
  <c r="P20" i="2"/>
  <c r="Q20" i="2"/>
  <c r="R20" i="2"/>
  <c r="S20" i="2"/>
  <c r="T20" i="2"/>
  <c r="U20" i="2"/>
  <c r="K22" i="2"/>
  <c r="L22" i="2"/>
  <c r="M22" i="2"/>
  <c r="N22" i="2"/>
  <c r="O22" i="2"/>
  <c r="P22" i="2"/>
  <c r="Q22" i="2"/>
  <c r="R22" i="2"/>
  <c r="S22" i="2"/>
  <c r="T22" i="2"/>
  <c r="U22" i="2"/>
  <c r="E50" i="1"/>
  <c r="D47" i="1"/>
  <c r="E31" i="1"/>
  <c r="E57" i="1"/>
  <c r="E56" i="1"/>
  <c r="E55" i="1"/>
  <c r="E54" i="1"/>
  <c r="E53" i="1"/>
  <c r="E37" i="1"/>
  <c r="E36" i="1"/>
  <c r="E29" i="1"/>
  <c r="E30" i="1"/>
  <c r="E21" i="1"/>
  <c r="E23" i="1"/>
  <c r="E20" i="1"/>
  <c r="E19" i="1"/>
  <c r="E13" i="1"/>
  <c r="E12" i="1"/>
  <c r="D57" i="1"/>
  <c r="D56" i="1"/>
  <c r="E36" i="2"/>
  <c r="E44" i="2"/>
  <c r="E87" i="2"/>
  <c r="E64" i="2"/>
  <c r="D53" i="1"/>
  <c r="D54" i="1"/>
  <c r="D55" i="1"/>
  <c r="E37" i="2"/>
  <c r="E38" i="2"/>
  <c r="E47" i="1"/>
  <c r="E49" i="1"/>
  <c r="E46" i="1"/>
  <c r="E58" i="1"/>
  <c r="E48" i="1"/>
  <c r="F104" i="2"/>
  <c r="F105" i="2"/>
  <c r="F106" i="2"/>
  <c r="G104" i="2"/>
  <c r="G105" i="2"/>
  <c r="G106" i="2"/>
  <c r="H104" i="2"/>
  <c r="H105" i="2"/>
  <c r="H106" i="2"/>
  <c r="I104" i="2"/>
  <c r="I105" i="2"/>
  <c r="I106" i="2"/>
  <c r="J104" i="2"/>
  <c r="J105" i="2"/>
  <c r="J106" i="2"/>
  <c r="K104" i="2"/>
  <c r="K105" i="2"/>
  <c r="K106" i="2"/>
  <c r="L104" i="2"/>
  <c r="L105" i="2"/>
  <c r="L106" i="2"/>
  <c r="M104" i="2"/>
  <c r="M105" i="2"/>
  <c r="M106" i="2"/>
  <c r="N104" i="2"/>
  <c r="N105" i="2"/>
  <c r="N106" i="2"/>
  <c r="O104" i="2"/>
  <c r="O105" i="2"/>
  <c r="O106" i="2"/>
  <c r="P104" i="2"/>
  <c r="P105" i="2"/>
  <c r="P106" i="2"/>
  <c r="Q104" i="2"/>
  <c r="Q105" i="2"/>
  <c r="Q106" i="2"/>
  <c r="R104" i="2"/>
  <c r="R105" i="2"/>
  <c r="R106" i="2"/>
  <c r="S104" i="2"/>
  <c r="S105" i="2"/>
  <c r="S106" i="2"/>
  <c r="T104" i="2"/>
  <c r="T105" i="2"/>
  <c r="T106" i="2"/>
  <c r="U104" i="2"/>
  <c r="U105" i="2"/>
  <c r="U106" i="2"/>
  <c r="E106" i="2"/>
  <c r="F83" i="2"/>
  <c r="F84" i="2"/>
  <c r="F85" i="2"/>
  <c r="G83" i="2"/>
  <c r="G84" i="2"/>
  <c r="G85" i="2"/>
  <c r="H83" i="2"/>
  <c r="H84" i="2"/>
  <c r="H85" i="2"/>
  <c r="I83" i="2"/>
  <c r="I84" i="2"/>
  <c r="I85" i="2"/>
  <c r="J83" i="2"/>
  <c r="J84" i="2"/>
  <c r="J85" i="2"/>
  <c r="K83" i="2"/>
  <c r="K84" i="2"/>
  <c r="K85" i="2"/>
  <c r="L83" i="2"/>
  <c r="L84" i="2"/>
  <c r="L85" i="2"/>
  <c r="M83" i="2"/>
  <c r="M84" i="2"/>
  <c r="M85" i="2"/>
  <c r="N83" i="2"/>
  <c r="N84" i="2"/>
  <c r="N85" i="2"/>
  <c r="O83" i="2"/>
  <c r="O84" i="2"/>
  <c r="O85" i="2"/>
  <c r="P83" i="2"/>
  <c r="P84" i="2"/>
  <c r="P85" i="2"/>
  <c r="Q83" i="2"/>
  <c r="Q84" i="2"/>
  <c r="Q85" i="2"/>
  <c r="R83" i="2"/>
  <c r="R84" i="2"/>
  <c r="R85" i="2"/>
  <c r="S83" i="2"/>
  <c r="S84" i="2"/>
  <c r="S85" i="2"/>
  <c r="T83" i="2"/>
  <c r="T84" i="2"/>
  <c r="T85" i="2"/>
  <c r="U83" i="2"/>
  <c r="U84" i="2"/>
  <c r="U85" i="2"/>
  <c r="E85" i="2"/>
</calcChain>
</file>

<file path=xl/comments1.xml><?xml version="1.0" encoding="utf-8"?>
<comments xmlns="http://schemas.openxmlformats.org/spreadsheetml/2006/main">
  <authors>
    <author>Nicholas Christman</author>
  </authors>
  <commentList>
    <comment ref="N7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Define Total Cycle as Sales Cycle + SDR Cycle or Sales Cycle + Marketing Cycle.
If Total Cycle is more than 4 months, the prep period will not show the activities required to meet Month 1 quota.
If your Total Cycle is 6 months, the dials and leads you generate in Month -3 will only influence Month 3 quota, because it takes 6 months for a lead or dial to become a deal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the current number for the role.  Then enter total number needed from Capacity &amp; Quota model.  You will need to schedule the hires in the Monthly Plan Section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the current number for the role.  Then enter total number needed from Capacity &amp; Quota model.  You will need to schedule the hires in the Monthly Plan Section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the current number for the role.  Then enter total number needed from Capacity &amp; Quota model.  You will need to schedule the hires in the Monthly Plan Section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17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D22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one number in "Uniform column", or edit monthly assumptions</t>
        </r>
      </text>
    </comment>
    <comment ref="K25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Check that ramp goes upwards each month and ends with 100%</t>
        </r>
      </text>
    </comment>
    <comment ref="D26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performance, as a % FTE performance, expected in the rep's Mth 1 - Mth 6</t>
        </r>
      </text>
    </comment>
    <comment ref="D27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performance, as a % FTE performance, expected in the rep's Mth 1 - Mth 6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Enter performance, as a % FTE performance, expected in the rep's Mth 1 - Mth 6</t>
        </r>
      </text>
    </comment>
    <comment ref="E36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Check to make sure total annual quota equals your total annual quota from Quota &amp; Budget tab</t>
        </r>
      </text>
    </comment>
    <comment ref="E44" authorId="0">
      <text>
        <r>
          <rPr>
            <b/>
            <sz val="9"/>
            <color indexed="81"/>
            <rFont val="Calibri"/>
            <family val="2"/>
          </rPr>
          <t xml:space="preserve">Nicholas Christman:
</t>
        </r>
        <r>
          <rPr>
            <sz val="9"/>
            <color indexed="81"/>
            <rFont val="Calibri"/>
            <family val="2"/>
          </rPr>
          <t xml:space="preserve">Red if hires are less than the difference between required capacity and current capacity.  Enter hires into blue text cell at right to increase the number of new hires
</t>
        </r>
      </text>
    </comment>
    <comment ref="E64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Red if actual capacity is less than Opps Required.  Change Hiring Plan to make capacity fit</t>
        </r>
      </text>
    </comment>
    <comment ref="E66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Red if hires are less than the difference between required capacity and current capacity.  Enter hires into blue text cell at right to increase the number of new hires</t>
        </r>
      </text>
    </comment>
    <comment ref="E85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Red if actual capacity is less than Dials Required.  Change Hiring Plan to make capacity fit</t>
        </r>
      </text>
    </comment>
    <comment ref="E87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Red if total MQR hires less than Hires Needed from Assumptions section</t>
        </r>
      </text>
    </comment>
    <comment ref="E106" authorId="0">
      <text>
        <r>
          <rPr>
            <b/>
            <sz val="9"/>
            <color indexed="81"/>
            <rFont val="Calibri"/>
            <family val="2"/>
          </rPr>
          <t>Nicholas Christman:</t>
        </r>
        <r>
          <rPr>
            <sz val="9"/>
            <color indexed="81"/>
            <rFont val="Calibri"/>
            <family val="2"/>
          </rPr>
          <t xml:space="preserve">
Red if MQR capacity is less than the number of leads required.  Update hiring plan to make it fit</t>
        </r>
      </text>
    </comment>
  </commentList>
</comments>
</file>

<file path=xl/sharedStrings.xml><?xml version="1.0" encoding="utf-8"?>
<sst xmlns="http://schemas.openxmlformats.org/spreadsheetml/2006/main" count="171" uniqueCount="137">
  <si>
    <t>Average Deal Size</t>
  </si>
  <si>
    <t>Dials : Opp</t>
  </si>
  <si>
    <t>Opps per SDR per month</t>
  </si>
  <si>
    <t>Deals per ISR per month</t>
  </si>
  <si>
    <t>Amount</t>
  </si>
  <si>
    <t>Comments/Explanation</t>
  </si>
  <si>
    <t>Item</t>
  </si>
  <si>
    <t>Quota per ISR per month</t>
  </si>
  <si>
    <t>SDR Total Comp</t>
  </si>
  <si>
    <t>ISR Total Comp</t>
  </si>
  <si>
    <t>Total SDR Cost</t>
  </si>
  <si>
    <t>Total ISR Cost</t>
  </si>
  <si>
    <t>Total Annual Quota</t>
  </si>
  <si>
    <t>Enter your annual quota or new revenue goal</t>
  </si>
  <si>
    <t>Enter your average deal size</t>
  </si>
  <si>
    <t>Number of Deals Required</t>
  </si>
  <si>
    <t>Win Rate</t>
  </si>
  <si>
    <t>Number of Opps Required</t>
  </si>
  <si>
    <t>Line</t>
  </si>
  <si>
    <t>365 days - 104 weekend days - 30 PTO/Holidays</t>
  </si>
  <si>
    <t>www.insightsquared.com</t>
  </si>
  <si>
    <t>Enter total comp for ISRs.  109K is Bridge Group benchmark</t>
  </si>
  <si>
    <t>Enter total comp for SDRs.  72K is Bridge Group benchmark</t>
  </si>
  <si>
    <t>Enter burden rate (cost of office, phone, T&amp;E, etc, as a % total comp)</t>
  </si>
  <si>
    <t>Enter your win rate.  27% is OpenView benchmark for growing tech co's</t>
  </si>
  <si>
    <t>Key:  Blue cells are inputs</t>
  </si>
  <si>
    <t>Dials Required</t>
  </si>
  <si>
    <t>Open Opps per ISR</t>
  </si>
  <si>
    <t>ISRs Needed</t>
  </si>
  <si>
    <t>SDRs Needed</t>
  </si>
  <si>
    <t>Burden Rate</t>
  </si>
  <si>
    <t>Opps per ISR per year</t>
  </si>
  <si>
    <t>Working Days per year</t>
  </si>
  <si>
    <t>Total SDR Days Required</t>
  </si>
  <si>
    <t>Cost of Revenue</t>
  </si>
  <si>
    <t>Enter the number of SDR dials required to produce 1 opp.  125 is OpenView benchmark</t>
  </si>
  <si>
    <t>Sales Cycle</t>
  </si>
  <si>
    <t>Mth -3</t>
  </si>
  <si>
    <t>Mth -2</t>
  </si>
  <si>
    <t>Mth -1</t>
  </si>
  <si>
    <t>Mth 0</t>
  </si>
  <si>
    <t>Number of Dials Required</t>
  </si>
  <si>
    <t>SDR Capacity</t>
  </si>
  <si>
    <t>ISR Capacity</t>
  </si>
  <si>
    <t>ISR FTE Count</t>
  </si>
  <si>
    <t>SDR FTE Count</t>
  </si>
  <si>
    <t>Working Days Per Month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</si>
  <si>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</si>
  <si>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</si>
  <si>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</si>
  <si>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</si>
  <si>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</si>
  <si>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</si>
  <si>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</si>
  <si>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</si>
  <si>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</si>
  <si>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</si>
  <si>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</si>
  <si>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</si>
  <si>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</si>
  <si>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Enter your sales cycle (time from opp creation to closed-won)</t>
  </si>
  <si>
    <t>ISR New Hire FTE Production</t>
  </si>
  <si>
    <t>SDR New Hire FTE Production</t>
  </si>
  <si>
    <t xml:space="preserve"> &lt;-- Prep period before 12 quota months --&gt;</t>
  </si>
  <si>
    <t>&lt;-------- 12 months of quota measurement --------&gt;</t>
  </si>
  <si>
    <t>Opps per ISR</t>
  </si>
  <si>
    <t>ISR Hiring Plan</t>
  </si>
  <si>
    <t>SDR Hiring Plan</t>
  </si>
  <si>
    <t>% Deals Sourced by Marketing</t>
  </si>
  <si>
    <t>SDR Opps Required</t>
  </si>
  <si>
    <t>Enter the number of percentage of marketing leads that convert into opps.  7% is Marketo benchmark</t>
  </si>
  <si>
    <t>Enter percentage of pipeline you expect marketing to drive.  38% is Marketo benchmark for average companies</t>
  </si>
  <si>
    <t>Marketing Opps Required</t>
  </si>
  <si>
    <t>Marketing Leads Required</t>
  </si>
  <si>
    <t>% Marketing Leads Converted into Opps</t>
  </si>
  <si>
    <t>Marketing Cost Per Lead</t>
  </si>
  <si>
    <t>Enter cost per lead.  Marketing Sherpa shows most common cost per lead is $21-50</t>
  </si>
  <si>
    <t>Marketing Leads per month</t>
  </si>
  <si>
    <t>Marketing Opps per month</t>
  </si>
  <si>
    <t>Enter your target SDR dials per day.  56 is Bridge Group benchmark</t>
  </si>
  <si>
    <t>Enter the number of qualification calls on inbound leads a MQR is required to make.</t>
  </si>
  <si>
    <t>MQRs Needed</t>
  </si>
  <si>
    <t>Marketing Lead Cost</t>
  </si>
  <si>
    <t>Total MQR Cost</t>
  </si>
  <si>
    <t>MQR Total Comp</t>
  </si>
  <si>
    <t>Enter total comp for ISRs.  Similar to SDR</t>
  </si>
  <si>
    <t>SDR Sourced Opps</t>
  </si>
  <si>
    <t>Marketing Sourced Opps</t>
  </si>
  <si>
    <t>Number of Leads Required</t>
  </si>
  <si>
    <t>MQR Hiring Plan</t>
  </si>
  <si>
    <t>MQR New Hire FTE Production</t>
  </si>
  <si>
    <t>MQR FTE Count</t>
  </si>
  <si>
    <t>MQR Capacity</t>
  </si>
  <si>
    <t>Dial : Opp</t>
  </si>
  <si>
    <t>SDR Dials per day</t>
  </si>
  <si>
    <t>MQR Dials per day</t>
  </si>
  <si>
    <t>SDR Ramp</t>
  </si>
  <si>
    <t>ISR Ramp</t>
  </si>
  <si>
    <t>MQR Ramp</t>
  </si>
  <si>
    <t>Days</t>
  </si>
  <si>
    <t>Check</t>
  </si>
  <si>
    <t>Number of ISRs</t>
  </si>
  <si>
    <t>Number of SDRs</t>
  </si>
  <si>
    <t>Number of MQRs</t>
  </si>
  <si>
    <t>Current</t>
  </si>
  <si>
    <t>Needed</t>
  </si>
  <si>
    <t>Hires</t>
  </si>
  <si>
    <t>Role</t>
  </si>
  <si>
    <t>Lead times</t>
  </si>
  <si>
    <t>Dates</t>
  </si>
  <si>
    <t>% FTE Performance in Mth X after hire</t>
  </si>
  <si>
    <t>Mths</t>
  </si>
  <si>
    <t>Sales cycle (Opp to Deal)</t>
  </si>
  <si>
    <t>Marketing cycle (Lead to Opp)</t>
  </si>
  <si>
    <t>SDR cycle (Dial to Opp)</t>
  </si>
  <si>
    <t>New Hire Ramp Assumptions</t>
  </si>
  <si>
    <t>Uniform</t>
  </si>
  <si>
    <t>ISR Monthly Opp Capacity</t>
  </si>
  <si>
    <t>Enter number of opps an ISR manages concurrently.  29 is benchmark from OpenView</t>
  </si>
  <si>
    <t>Total Sales and Lead Gen Cost</t>
  </si>
  <si>
    <t>Customer lifetime, in months</t>
  </si>
  <si>
    <t>Enter the expected customer lifetime for a new customer, in months</t>
  </si>
  <si>
    <t>Customer Acquisition Cost (CAC)</t>
  </si>
  <si>
    <t>Customer lifetime value / CAC</t>
  </si>
  <si>
    <r>
      <t xml:space="preserve">Key:  </t>
    </r>
    <r>
      <rPr>
        <sz val="12"/>
        <color rgb="FF0000FF"/>
        <rFont val="Calibri"/>
        <scheme val="minor"/>
      </rPr>
      <t xml:space="preserve">Blue cells are inputs; </t>
    </r>
    <r>
      <rPr>
        <sz val="12"/>
        <color rgb="FF660066"/>
        <rFont val="Calibri"/>
        <scheme val="minor"/>
      </rPr>
      <t>purple cells are linked from Annual tab</t>
    </r>
  </si>
  <si>
    <t>Monthly Planning Tool</t>
  </si>
  <si>
    <t>Section 1:  General Assumptions</t>
  </si>
  <si>
    <t>Section 2:  Monthly Assumptions</t>
  </si>
  <si>
    <t>Section 3:  Monthly Plan</t>
  </si>
  <si>
    <t>Annual Capacity, Quota, &amp; Budget Tool</t>
  </si>
  <si>
    <t>Section 1:  Top Level Metrics</t>
  </si>
  <si>
    <t>Section 2:  Outbound Prospecting Capacity Planning (Outbound Rep = "SDRs")</t>
  </si>
  <si>
    <t>Section 3:  Marketing Capacity Planning (Marketing Qualification Rep = "MQR")</t>
  </si>
  <si>
    <t>Section 4:  Inside Sales Capacity Planning (Inside Sales Rep = "ISR")</t>
  </si>
  <si>
    <t>Section 5:  Budget Planning</t>
  </si>
  <si>
    <t>Section 6:  Key Results Metrics</t>
  </si>
  <si>
    <t>Check Total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</si>
</sst>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i/>
      <u/>
      <sz val="12"/>
      <color theme="10"/>
      <name val="Calibri"/>
      <scheme val="minor"/>
    </font>
    <font>
      <b/>
      <i/>
      <u/>
      <sz val="12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sz val="12"/>
      <color rgb="FF008000"/>
      <name val="Calibri"/>
      <scheme val="minor"/>
    </font>
    <font>
      <i/>
      <sz val="12"/>
      <color theme="1"/>
      <name val="Calibri"/>
      <scheme val="minor"/>
    </font>
    <font>
      <i/>
      <sz val="12"/>
      <color rgb="FF0000FF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rgb="FFFFFFFF"/>
      <name val="Calibri"/>
      <family val="2"/>
      <scheme val="minor"/>
    </font>
    <font>
      <i/>
      <u/>
      <sz val="12"/>
      <color theme="1"/>
      <name val="Calibri"/>
      <scheme val="minor"/>
    </font>
    <font>
      <sz val="12"/>
      <color rgb="FF660066"/>
      <name val="Calibri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2AE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EE2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2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0" fillId="3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9" xfId="0" applyFill="1" applyBorder="1"/>
    <xf numFmtId="0" fontId="0" fillId="3" borderId="10" xfId="0" applyFill="1" applyBorder="1" applyAlignment="1">
      <alignment wrapText="1"/>
    </xf>
    <xf numFmtId="164" fontId="0" fillId="3" borderId="10" xfId="1" applyNumberFormat="1" applyFont="1" applyFill="1" applyBorder="1"/>
    <xf numFmtId="0" fontId="0" fillId="3" borderId="5" xfId="0" applyFill="1" applyBorder="1"/>
    <xf numFmtId="0" fontId="4" fillId="3" borderId="5" xfId="0" applyFont="1" applyFill="1" applyBorder="1" applyAlignment="1">
      <alignment wrapText="1"/>
    </xf>
    <xf numFmtId="0" fontId="0" fillId="3" borderId="12" xfId="0" applyFill="1" applyBorder="1"/>
    <xf numFmtId="0" fontId="0" fillId="3" borderId="15" xfId="0" applyFill="1" applyBorder="1"/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164" fontId="0" fillId="3" borderId="16" xfId="1" applyNumberFormat="1" applyFont="1" applyFill="1" applyBorder="1"/>
    <xf numFmtId="164" fontId="0" fillId="3" borderId="16" xfId="0" applyNumberFormat="1" applyFill="1" applyBorder="1"/>
    <xf numFmtId="9" fontId="0" fillId="3" borderId="16" xfId="2" applyNumberFormat="1" applyFont="1" applyFill="1" applyBorder="1"/>
    <xf numFmtId="0" fontId="9" fillId="3" borderId="4" xfId="0" applyFont="1" applyFill="1" applyBorder="1" applyAlignment="1"/>
    <xf numFmtId="0" fontId="3" fillId="3" borderId="5" xfId="0" applyFont="1" applyFill="1" applyBorder="1" applyAlignment="1">
      <alignment wrapText="1"/>
    </xf>
    <xf numFmtId="0" fontId="0" fillId="3" borderId="19" xfId="0" applyFill="1" applyBorder="1"/>
    <xf numFmtId="0" fontId="0" fillId="3" borderId="20" xfId="0" applyFill="1" applyBorder="1" applyAlignment="1">
      <alignment wrapText="1"/>
    </xf>
    <xf numFmtId="0" fontId="8" fillId="3" borderId="0" xfId="57" applyFont="1" applyFill="1" applyAlignment="1">
      <alignment horizontal="right"/>
    </xf>
    <xf numFmtId="0" fontId="10" fillId="3" borderId="16" xfId="0" applyFont="1" applyFill="1" applyBorder="1"/>
    <xf numFmtId="0" fontId="2" fillId="2" borderId="2" xfId="0" applyFont="1" applyFill="1" applyBorder="1" applyAlignment="1">
      <alignment horizontal="right" wrapText="1"/>
    </xf>
    <xf numFmtId="164" fontId="12" fillId="3" borderId="0" xfId="1" applyNumberFormat="1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right" wrapText="1"/>
    </xf>
    <xf numFmtId="0" fontId="0" fillId="3" borderId="10" xfId="0" applyFill="1" applyBorder="1"/>
    <xf numFmtId="0" fontId="9" fillId="3" borderId="0" xfId="0" applyFont="1" applyFill="1" applyBorder="1"/>
    <xf numFmtId="164" fontId="0" fillId="0" borderId="10" xfId="0" applyNumberFormat="1" applyBorder="1"/>
    <xf numFmtId="164" fontId="0" fillId="0" borderId="10" xfId="1" applyNumberFormat="1" applyFont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/>
    <xf numFmtId="0" fontId="0" fillId="3" borderId="16" xfId="0" applyFill="1" applyBorder="1"/>
    <xf numFmtId="164" fontId="12" fillId="3" borderId="16" xfId="1" applyNumberFormat="1" applyFont="1" applyFill="1" applyBorder="1"/>
    <xf numFmtId="164" fontId="0" fillId="3" borderId="13" xfId="1" applyNumberFormat="1" applyFont="1" applyFill="1" applyBorder="1"/>
    <xf numFmtId="164" fontId="0" fillId="3" borderId="17" xfId="1" applyNumberFormat="1" applyFont="1" applyFill="1" applyBorder="1"/>
    <xf numFmtId="0" fontId="0" fillId="3" borderId="18" xfId="0" applyFill="1" applyBorder="1"/>
    <xf numFmtId="0" fontId="0" fillId="3" borderId="25" xfId="0" applyFill="1" applyBorder="1"/>
    <xf numFmtId="0" fontId="0" fillId="4" borderId="5" xfId="0" applyFill="1" applyBorder="1"/>
    <xf numFmtId="164" fontId="7" fillId="4" borderId="0" xfId="1" applyNumberFormat="1" applyFont="1" applyFill="1" applyBorder="1" applyProtection="1">
      <protection locked="0"/>
    </xf>
    <xf numFmtId="164" fontId="7" fillId="4" borderId="16" xfId="1" applyNumberFormat="1" applyFont="1" applyFill="1" applyBorder="1" applyProtection="1">
      <protection locked="0"/>
    </xf>
    <xf numFmtId="9" fontId="7" fillId="4" borderId="16" xfId="0" applyNumberFormat="1" applyFont="1" applyFill="1" applyBorder="1" applyProtection="1">
      <protection locked="0"/>
    </xf>
    <xf numFmtId="164" fontId="7" fillId="4" borderId="18" xfId="1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164" fontId="7" fillId="4" borderId="13" xfId="1" applyNumberFormat="1" applyFont="1" applyFill="1" applyBorder="1" applyProtection="1">
      <protection locked="0"/>
    </xf>
    <xf numFmtId="0" fontId="7" fillId="4" borderId="16" xfId="0" applyFont="1" applyFill="1" applyBorder="1"/>
    <xf numFmtId="164" fontId="7" fillId="4" borderId="14" xfId="1" applyNumberFormat="1" applyFont="1" applyFill="1" applyBorder="1" applyProtection="1">
      <protection locked="0"/>
    </xf>
    <xf numFmtId="164" fontId="7" fillId="4" borderId="17" xfId="1" applyNumberFormat="1" applyFont="1" applyFill="1" applyBorder="1" applyProtection="1">
      <protection locked="0"/>
    </xf>
    <xf numFmtId="0" fontId="0" fillId="3" borderId="16" xfId="0" applyFill="1" applyBorder="1" applyAlignment="1">
      <alignment horizontal="left"/>
    </xf>
    <xf numFmtId="0" fontId="0" fillId="3" borderId="16" xfId="0" applyFill="1" applyBorder="1" applyAlignment="1"/>
    <xf numFmtId="9" fontId="7" fillId="4" borderId="16" xfId="2" applyFont="1" applyFill="1" applyBorder="1" applyProtection="1">
      <protection locked="0"/>
    </xf>
    <xf numFmtId="165" fontId="0" fillId="3" borderId="16" xfId="1" applyNumberFormat="1" applyFont="1" applyFill="1" applyBorder="1"/>
    <xf numFmtId="10" fontId="0" fillId="3" borderId="0" xfId="0" applyNumberFormat="1" applyFill="1"/>
    <xf numFmtId="0" fontId="0" fillId="3" borderId="24" xfId="0" applyFill="1" applyBorder="1" applyAlignment="1">
      <alignment wrapText="1"/>
    </xf>
    <xf numFmtId="164" fontId="0" fillId="3" borderId="24" xfId="1" applyNumberFormat="1" applyFont="1" applyFill="1" applyBorder="1"/>
    <xf numFmtId="0" fontId="0" fillId="3" borderId="26" xfId="0" applyFill="1" applyBorder="1" applyAlignment="1">
      <alignment wrapText="1"/>
    </xf>
    <xf numFmtId="9" fontId="7" fillId="4" borderId="18" xfId="0" applyNumberFormat="1" applyFont="1" applyFill="1" applyBorder="1" applyProtection="1">
      <protection locked="0"/>
    </xf>
    <xf numFmtId="0" fontId="0" fillId="3" borderId="0" xfId="0" applyFill="1" applyBorder="1" applyAlignment="1">
      <alignment horizontal="left" indent="1"/>
    </xf>
    <xf numFmtId="164" fontId="0" fillId="3" borderId="18" xfId="1" applyNumberFormat="1" applyFont="1" applyFill="1" applyBorder="1"/>
    <xf numFmtId="164" fontId="0" fillId="3" borderId="20" xfId="1" applyNumberFormat="1" applyFont="1" applyFill="1" applyBorder="1"/>
    <xf numFmtId="164" fontId="0" fillId="0" borderId="16" xfId="0" applyNumberFormat="1" applyBorder="1"/>
    <xf numFmtId="164" fontId="0" fillId="0" borderId="16" xfId="1" applyNumberFormat="1" applyFont="1" applyBorder="1"/>
    <xf numFmtId="0" fontId="17" fillId="5" borderId="1" xfId="0" applyFont="1" applyFill="1" applyBorder="1" applyAlignment="1">
      <alignment wrapText="1"/>
    </xf>
    <xf numFmtId="0" fontId="17" fillId="5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right" wrapText="1"/>
    </xf>
    <xf numFmtId="164" fontId="0" fillId="3" borderId="0" xfId="0" applyNumberFormat="1" applyFill="1" applyBorder="1" applyAlignment="1">
      <alignment horizontal="left"/>
    </xf>
    <xf numFmtId="164" fontId="7" fillId="3" borderId="0" xfId="1" applyNumberFormat="1" applyFon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43" fontId="0" fillId="3" borderId="13" xfId="1" applyFont="1" applyFill="1" applyBorder="1"/>
    <xf numFmtId="0" fontId="0" fillId="3" borderId="0" xfId="0" quotePrefix="1" applyFill="1" applyBorder="1" applyAlignment="1">
      <alignment wrapText="1"/>
    </xf>
    <xf numFmtId="164" fontId="10" fillId="3" borderId="0" xfId="1" applyNumberFormat="1" applyFont="1" applyFill="1" applyBorder="1" applyAlignment="1" applyProtection="1">
      <protection locked="0"/>
    </xf>
    <xf numFmtId="0" fontId="17" fillId="5" borderId="2" xfId="0" applyFont="1" applyFill="1" applyBorder="1" applyAlignment="1">
      <alignment horizontal="right"/>
    </xf>
    <xf numFmtId="164" fontId="7" fillId="3" borderId="0" xfId="1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left" indent="1"/>
    </xf>
    <xf numFmtId="164" fontId="7" fillId="3" borderId="16" xfId="1" applyNumberFormat="1" applyFont="1" applyFill="1" applyBorder="1" applyProtection="1">
      <protection locked="0"/>
    </xf>
    <xf numFmtId="0" fontId="13" fillId="3" borderId="0" xfId="0" applyFont="1" applyFill="1"/>
    <xf numFmtId="0" fontId="1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164" fontId="0" fillId="0" borderId="0" xfId="1" applyNumberFormat="1" applyFont="1" applyBorder="1"/>
    <xf numFmtId="0" fontId="13" fillId="3" borderId="15" xfId="0" applyFont="1" applyFill="1" applyBorder="1"/>
    <xf numFmtId="0" fontId="13" fillId="3" borderId="16" xfId="0" applyFont="1" applyFill="1" applyBorder="1" applyAlignment="1">
      <alignment horizontal="left" indent="1"/>
    </xf>
    <xf numFmtId="164" fontId="13" fillId="3" borderId="16" xfId="1" applyNumberFormat="1" applyFont="1" applyFill="1" applyBorder="1"/>
    <xf numFmtId="164" fontId="13" fillId="3" borderId="17" xfId="1" applyNumberFormat="1" applyFont="1" applyFill="1" applyBorder="1"/>
    <xf numFmtId="43" fontId="0" fillId="3" borderId="0" xfId="1" applyFont="1" applyFill="1" applyBorder="1"/>
    <xf numFmtId="9" fontId="0" fillId="3" borderId="0" xfId="2" applyFont="1" applyFill="1" applyBorder="1"/>
    <xf numFmtId="9" fontId="0" fillId="3" borderId="8" xfId="2" applyFont="1" applyFill="1" applyBorder="1"/>
    <xf numFmtId="165" fontId="0" fillId="3" borderId="17" xfId="1" applyNumberFormat="1" applyFont="1" applyFill="1" applyBorder="1"/>
    <xf numFmtId="164" fontId="0" fillId="0" borderId="8" xfId="1" applyNumberFormat="1" applyFont="1" applyBorder="1"/>
    <xf numFmtId="164" fontId="0" fillId="0" borderId="17" xfId="1" applyNumberFormat="1" applyFont="1" applyBorder="1"/>
    <xf numFmtId="164" fontId="0" fillId="0" borderId="11" xfId="1" applyNumberFormat="1" applyFont="1" applyBorder="1"/>
    <xf numFmtId="164" fontId="0" fillId="3" borderId="8" xfId="1" applyNumberFormat="1" applyFont="1" applyFill="1" applyBorder="1"/>
    <xf numFmtId="0" fontId="0" fillId="3" borderId="24" xfId="0" applyFill="1" applyBorder="1"/>
    <xf numFmtId="164" fontId="7" fillId="4" borderId="24" xfId="1" applyNumberFormat="1" applyFont="1" applyFill="1" applyBorder="1" applyProtection="1">
      <protection locked="0"/>
    </xf>
    <xf numFmtId="164" fontId="0" fillId="3" borderId="26" xfId="1" applyNumberFormat="1" applyFont="1" applyFill="1" applyBorder="1"/>
    <xf numFmtId="164" fontId="7" fillId="4" borderId="8" xfId="1" applyNumberFormat="1" applyFont="1" applyFill="1" applyBorder="1" applyProtection="1">
      <protection locked="0"/>
    </xf>
    <xf numFmtId="9" fontId="7" fillId="4" borderId="17" xfId="2" applyFont="1" applyFill="1" applyBorder="1" applyProtection="1">
      <protection locked="0"/>
    </xf>
    <xf numFmtId="164" fontId="7" fillId="4" borderId="20" xfId="1" applyNumberFormat="1" applyFont="1" applyFill="1" applyBorder="1" applyProtection="1">
      <protection locked="0"/>
    </xf>
    <xf numFmtId="164" fontId="0" fillId="3" borderId="8" xfId="0" applyNumberFormat="1" applyFill="1" applyBorder="1" applyAlignment="1">
      <alignment horizontal="left"/>
    </xf>
    <xf numFmtId="0" fontId="9" fillId="3" borderId="7" xfId="0" applyFont="1" applyFill="1" applyBorder="1"/>
    <xf numFmtId="0" fontId="13" fillId="3" borderId="0" xfId="0" applyFont="1" applyFill="1" applyBorder="1"/>
    <xf numFmtId="0" fontId="0" fillId="3" borderId="8" xfId="0" applyFill="1" applyBorder="1" applyAlignment="1"/>
    <xf numFmtId="0" fontId="0" fillId="3" borderId="17" xfId="0" applyFill="1" applyBorder="1" applyAlignment="1"/>
    <xf numFmtId="9" fontId="7" fillId="4" borderId="24" xfId="2" applyFont="1" applyFill="1" applyBorder="1" applyProtection="1">
      <protection locked="0"/>
    </xf>
    <xf numFmtId="0" fontId="0" fillId="3" borderId="24" xfId="0" applyFill="1" applyBorder="1" applyAlignment="1"/>
    <xf numFmtId="0" fontId="0" fillId="3" borderId="24" xfId="0" applyFill="1" applyBorder="1" applyAlignment="1">
      <alignment horizontal="left" indent="1"/>
    </xf>
    <xf numFmtId="0" fontId="0" fillId="3" borderId="24" xfId="0" applyFill="1" applyBorder="1" applyAlignment="1">
      <alignment horizontal="left"/>
    </xf>
    <xf numFmtId="164" fontId="12" fillId="3" borderId="24" xfId="1" applyNumberFormat="1" applyFont="1" applyFill="1" applyBorder="1"/>
    <xf numFmtId="164" fontId="7" fillId="3" borderId="24" xfId="1" applyNumberFormat="1" applyFont="1" applyFill="1" applyBorder="1" applyProtection="1">
      <protection locked="0"/>
    </xf>
    <xf numFmtId="0" fontId="0" fillId="3" borderId="26" xfId="0" applyFill="1" applyBorder="1" applyAlignment="1"/>
    <xf numFmtId="0" fontId="14" fillId="3" borderId="0" xfId="0" applyFont="1" applyFill="1" applyBorder="1" applyAlignment="1">
      <alignment horizontal="left" indent="4"/>
    </xf>
    <xf numFmtId="0" fontId="0" fillId="3" borderId="27" xfId="0" applyFill="1" applyBorder="1" applyAlignment="1">
      <alignment wrapText="1"/>
    </xf>
    <xf numFmtId="165" fontId="0" fillId="3" borderId="10" xfId="1" applyNumberFormat="1" applyFont="1" applyFill="1" applyBorder="1"/>
    <xf numFmtId="0" fontId="0" fillId="3" borderId="28" xfId="0" applyFill="1" applyBorder="1"/>
    <xf numFmtId="0" fontId="0" fillId="3" borderId="11" xfId="0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164" fontId="19" fillId="4" borderId="0" xfId="1" applyNumberFormat="1" applyFont="1" applyFill="1" applyBorder="1" applyProtection="1">
      <protection locked="0"/>
    </xf>
    <xf numFmtId="164" fontId="19" fillId="4" borderId="16" xfId="1" applyNumberFormat="1" applyFont="1" applyFill="1" applyBorder="1" applyProtection="1">
      <protection locked="0"/>
    </xf>
    <xf numFmtId="164" fontId="19" fillId="4" borderId="24" xfId="1" applyNumberFormat="1" applyFont="1" applyFill="1" applyBorder="1" applyProtection="1">
      <protection locked="0"/>
    </xf>
    <xf numFmtId="9" fontId="19" fillId="4" borderId="16" xfId="2" applyFont="1" applyFill="1" applyBorder="1" applyProtection="1">
      <protection locked="0"/>
    </xf>
    <xf numFmtId="164" fontId="19" fillId="4" borderId="18" xfId="1" applyNumberFormat="1" applyFont="1" applyFill="1" applyBorder="1" applyProtection="1">
      <protection locked="0"/>
    </xf>
    <xf numFmtId="0" fontId="20" fillId="3" borderId="0" xfId="0" applyFont="1" applyFill="1" applyBorder="1"/>
    <xf numFmtId="0" fontId="21" fillId="3" borderId="0" xfId="0" applyFont="1" applyFill="1" applyBorder="1"/>
    <xf numFmtId="0" fontId="20" fillId="3" borderId="0" xfId="0" applyFont="1" applyFill="1"/>
    <xf numFmtId="0" fontId="13" fillId="3" borderId="23" xfId="0" quotePrefix="1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1" xfId="0" quotePrefix="1" applyFont="1" applyFill="1" applyBorder="1" applyAlignment="1">
      <alignment horizontal="center"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0" fontId="22" fillId="3" borderId="4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164" fontId="0" fillId="3" borderId="13" xfId="1" applyNumberFormat="1" applyFont="1" applyFill="1" applyBorder="1" applyAlignment="1">
      <alignment horizontal="center"/>
    </xf>
    <xf numFmtId="164" fontId="0" fillId="3" borderId="16" xfId="1" applyNumberFormat="1" applyFont="1" applyFill="1" applyBorder="1" applyAlignment="1">
      <alignment horizontal="center"/>
    </xf>
    <xf numFmtId="164" fontId="0" fillId="3" borderId="24" xfId="1" applyNumberFormat="1" applyFont="1" applyFill="1" applyBorder="1" applyAlignment="1">
      <alignment horizontal="center"/>
    </xf>
  </cellXfs>
  <cellStyles count="23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  <cellStyle name="Percent" xfId="2" builtinId="5"/>
  </cellStyles>
  <dxfs count="1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381000"/>
          <a:ext cx="0" cy="304800"/>
        </a:xfrm>
        <a:prstGeom prst="rect">
          <a:avLst/>
        </a:prstGeom>
      </xdr:spPr>
    </xdr:pic>
    <xdr:clientData/>
  </xdr:twoCellAnchor>
  <xdr:twoCellAnchor editAs="oneCell">
    <xdr:from>
      <xdr:col>4</xdr:col>
      <xdr:colOff>2986232</xdr:colOff>
      <xdr:row>1</xdr:row>
      <xdr:rowOff>50800</xdr:rowOff>
    </xdr:from>
    <xdr:to>
      <xdr:col>4</xdr:col>
      <xdr:colOff>4573732</xdr:colOff>
      <xdr:row>1</xdr:row>
      <xdr:rowOff>286209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32" y="127000"/>
          <a:ext cx="1587500" cy="235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393700</xdr:colOff>
      <xdr:row>6</xdr:row>
      <xdr:rowOff>241300</xdr:rowOff>
    </xdr:from>
    <xdr:to>
      <xdr:col>19</xdr:col>
      <xdr:colOff>393700</xdr:colOff>
      <xdr:row>8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1900" y="2946400"/>
          <a:ext cx="0" cy="304800"/>
        </a:xfrm>
        <a:prstGeom prst="rect">
          <a:avLst/>
        </a:prstGeom>
      </xdr:spPr>
    </xdr:pic>
    <xdr:clientData/>
  </xdr:twoCellAnchor>
  <xdr:twoCellAnchor editAs="oneCell">
    <xdr:from>
      <xdr:col>5</xdr:col>
      <xdr:colOff>2986232</xdr:colOff>
      <xdr:row>2</xdr:row>
      <xdr:rowOff>0</xdr:rowOff>
    </xdr:from>
    <xdr:to>
      <xdr:col>6</xdr:col>
      <xdr:colOff>7376</xdr:colOff>
      <xdr:row>2</xdr:row>
      <xdr:rowOff>245435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7632" y="76200"/>
          <a:ext cx="1587500" cy="235409"/>
        </a:xfrm>
        <a:prstGeom prst="rect">
          <a:avLst/>
        </a:prstGeom>
      </xdr:spPr>
    </xdr:pic>
    <xdr:clientData/>
  </xdr:twoCellAnchor>
  <xdr:twoCellAnchor editAs="oneCell">
    <xdr:from>
      <xdr:col>18</xdr:col>
      <xdr:colOff>635000</xdr:colOff>
      <xdr:row>2</xdr:row>
      <xdr:rowOff>92908</xdr:rowOff>
    </xdr:from>
    <xdr:to>
      <xdr:col>21</xdr:col>
      <xdr:colOff>12700</xdr:colOff>
      <xdr:row>3</xdr:row>
      <xdr:rowOff>47973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5737" y="253329"/>
          <a:ext cx="1583489" cy="249170"/>
        </a:xfrm>
        <a:prstGeom prst="rect">
          <a:avLst/>
        </a:prstGeom>
      </xdr:spPr>
    </xdr:pic>
    <xdr:clientData/>
  </xdr:twoCellAnchor>
  <xdr:twoCellAnchor editAs="oneCell">
    <xdr:from>
      <xdr:col>5</xdr:col>
      <xdr:colOff>2986232</xdr:colOff>
      <xdr:row>4</xdr:row>
      <xdr:rowOff>0</xdr:rowOff>
    </xdr:from>
    <xdr:to>
      <xdr:col>6</xdr:col>
      <xdr:colOff>7376</xdr:colOff>
      <xdr:row>5</xdr:row>
      <xdr:rowOff>44909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332" y="141111"/>
          <a:ext cx="2822" cy="24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ightsquared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insightsquared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63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61" sqref="B2:E61"/>
    </sheetView>
  </sheetViews>
  <sheetFormatPr baseColWidth="10" defaultColWidth="10.83203125" defaultRowHeight="15" x14ac:dyDescent="0"/>
  <cols>
    <col min="1" max="1" width="3.5" style="1" customWidth="1"/>
    <col min="2" max="2" width="4.6640625" style="1" customWidth="1"/>
    <col min="3" max="3" width="28.83203125" style="2" customWidth="1"/>
    <col min="4" max="4" width="13.1640625" style="1" bestFit="1" customWidth="1"/>
    <col min="5" max="5" width="60.5" style="2" customWidth="1"/>
    <col min="6" max="16384" width="10.83203125" style="1"/>
  </cols>
  <sheetData>
    <row r="1" spans="2:5" ht="6" customHeight="1"/>
    <row r="2" spans="2:5" s="136" customFormat="1" ht="23">
      <c r="B2" s="142" t="s">
        <v>129</v>
      </c>
      <c r="C2" s="142"/>
      <c r="D2" s="142"/>
      <c r="E2" s="141"/>
    </row>
    <row r="3" spans="2:5" ht="6" customHeight="1"/>
    <row r="4" spans="2:5" ht="15" customHeight="1">
      <c r="B4" s="4" t="s">
        <v>18</v>
      </c>
      <c r="C4" s="5" t="s">
        <v>6</v>
      </c>
      <c r="D4" s="128" t="s">
        <v>4</v>
      </c>
      <c r="E4" s="6" t="s">
        <v>5</v>
      </c>
    </row>
    <row r="5" spans="2:5" ht="15" customHeight="1">
      <c r="B5" s="146" t="s">
        <v>130</v>
      </c>
      <c r="C5" s="143"/>
      <c r="D5" s="144"/>
      <c r="E5" s="145"/>
    </row>
    <row r="6" spans="2:5">
      <c r="B6" s="28">
        <v>1</v>
      </c>
      <c r="C6" s="22" t="s">
        <v>12</v>
      </c>
      <c r="D6" s="54">
        <v>10000000</v>
      </c>
      <c r="E6" s="29" t="s">
        <v>13</v>
      </c>
    </row>
    <row r="7" spans="2:5">
      <c r="B7" s="19">
        <f>MAX(B6:$B$6)+1</f>
        <v>2</v>
      </c>
      <c r="C7" s="20" t="s">
        <v>0</v>
      </c>
      <c r="D7" s="52">
        <v>15000</v>
      </c>
      <c r="E7" s="21" t="s">
        <v>14</v>
      </c>
    </row>
    <row r="8" spans="2:5">
      <c r="B8" s="19">
        <f>MAX(B$6:$B7)+1</f>
        <v>3</v>
      </c>
      <c r="C8" s="20" t="s">
        <v>16</v>
      </c>
      <c r="D8" s="53">
        <v>0.27</v>
      </c>
      <c r="E8" s="21" t="s">
        <v>24</v>
      </c>
    </row>
    <row r="9" spans="2:5">
      <c r="B9" s="19">
        <f>MAX(B$6:$B8)+1</f>
        <v>4</v>
      </c>
      <c r="C9" s="20" t="s">
        <v>36</v>
      </c>
      <c r="D9" s="52">
        <v>30</v>
      </c>
      <c r="E9" s="21" t="s">
        <v>60</v>
      </c>
    </row>
    <row r="10" spans="2:5" ht="31.5">
      <c r="B10" s="19">
        <f>MAX(B$6:$B9)+1</f>
        <v>5</v>
      </c>
      <c r="C10" s="20" t="s">
        <v>68</v>
      </c>
      <c r="D10" s="53">
        <v>0.38</v>
      </c>
      <c r="E10" s="21" t="s">
        <v>71</v>
      </c>
    </row>
    <row r="11" spans="2:5" ht="6" customHeight="1">
      <c r="B11" s="8"/>
      <c r="C11" s="9"/>
      <c r="D11" s="11"/>
      <c r="E11" s="10"/>
    </row>
    <row r="12" spans="2:5">
      <c r="B12" s="19">
        <f>MAX(B$6:$B11)+1</f>
        <v>6</v>
      </c>
      <c r="C12" s="20" t="s">
        <v>15</v>
      </c>
      <c r="D12" s="23">
        <f>D6/D7</f>
        <v>666.66666666666663</v>
      </c>
      <c r="E12" s="21" t="str">
        <f>"("&amp;B6&amp;") / ("&amp;B7&amp;")"</f>
        <v>(1) / (2)</v>
      </c>
    </row>
    <row r="13" spans="2:5">
      <c r="B13" s="49">
        <f>MAX(B$6:$B12)+1</f>
        <v>7</v>
      </c>
      <c r="C13" s="66" t="s">
        <v>17</v>
      </c>
      <c r="D13" s="67">
        <f>D12/D8</f>
        <v>2469.1358024691353</v>
      </c>
      <c r="E13" s="68" t="str">
        <f>"("&amp;B12&amp;") / ("&amp;B8&amp;")"</f>
        <v>(6) / (3)</v>
      </c>
    </row>
    <row r="14" spans="2:5" ht="6" customHeight="1"/>
    <row r="15" spans="2:5">
      <c r="B15" s="26" t="s">
        <v>131</v>
      </c>
      <c r="C15" s="27"/>
      <c r="D15" s="16"/>
      <c r="E15" s="7"/>
    </row>
    <row r="16" spans="2:5" ht="31.5">
      <c r="B16" s="8">
        <f>MAX(B$6:$B15)+1</f>
        <v>8</v>
      </c>
      <c r="C16" s="9" t="s">
        <v>1</v>
      </c>
      <c r="D16" s="55">
        <v>125</v>
      </c>
      <c r="E16" s="10" t="s">
        <v>35</v>
      </c>
    </row>
    <row r="17" spans="2:7">
      <c r="B17" s="19">
        <f>MAX(B$6:$B16)+1</f>
        <v>9</v>
      </c>
      <c r="C17" s="20" t="s">
        <v>94</v>
      </c>
      <c r="D17" s="56">
        <v>56</v>
      </c>
      <c r="E17" s="21" t="s">
        <v>79</v>
      </c>
    </row>
    <row r="18" spans="2:7" ht="6" customHeight="1">
      <c r="B18" s="8"/>
      <c r="C18" s="9"/>
      <c r="D18" s="11"/>
      <c r="E18" s="10"/>
    </row>
    <row r="19" spans="2:7">
      <c r="B19" s="19">
        <f>MAX(B$6:$B18)+1</f>
        <v>10</v>
      </c>
      <c r="C19" s="20" t="s">
        <v>69</v>
      </c>
      <c r="D19" s="23">
        <f>D13*(1-D10)</f>
        <v>1530.864197530864</v>
      </c>
      <c r="E19" s="21" t="str">
        <f>"("&amp;B13&amp;") * (1 - ("&amp;B10&amp;"))"</f>
        <v>(7) * (1 - (5))</v>
      </c>
    </row>
    <row r="20" spans="2:7">
      <c r="B20" s="19">
        <f>MAX(B$6:$B19)+1</f>
        <v>11</v>
      </c>
      <c r="C20" s="20" t="s">
        <v>26</v>
      </c>
      <c r="D20" s="23">
        <f>D19*D16</f>
        <v>191358.024691358</v>
      </c>
      <c r="E20" s="21" t="str">
        <f>"("&amp;B19&amp;") * ("&amp;B16&amp;")"</f>
        <v>(10) * (8)</v>
      </c>
    </row>
    <row r="21" spans="2:7">
      <c r="B21" s="19">
        <f>MAX(B$6:$B20)+1</f>
        <v>12</v>
      </c>
      <c r="C21" s="20" t="s">
        <v>33</v>
      </c>
      <c r="D21" s="24">
        <f>D20/D17</f>
        <v>3417.1075837742501</v>
      </c>
      <c r="E21" s="21" t="str">
        <f>"("&amp;B20&amp;") / ("&amp;B17&amp;")"</f>
        <v>(11) / (9)</v>
      </c>
    </row>
    <row r="22" spans="2:7">
      <c r="B22" s="19">
        <f>MAX(B$6:$B21)+1</f>
        <v>13</v>
      </c>
      <c r="C22" s="20" t="s">
        <v>32</v>
      </c>
      <c r="D22" s="31">
        <f>365-52*2-30</f>
        <v>231</v>
      </c>
      <c r="E22" s="21" t="s">
        <v>19</v>
      </c>
    </row>
    <row r="23" spans="2:7">
      <c r="B23" s="13">
        <f>MAX(B$6:$B22)+1</f>
        <v>14</v>
      </c>
      <c r="C23" s="14" t="s">
        <v>29</v>
      </c>
      <c r="D23" s="15">
        <f>ROUNDUP(D21/D22,0)</f>
        <v>15</v>
      </c>
      <c r="E23" s="68" t="str">
        <f>"("&amp;B21&amp;") / ("&amp;B22&amp;")"</f>
        <v>(12) / (13)</v>
      </c>
    </row>
    <row r="24" spans="2:7" ht="6" customHeight="1"/>
    <row r="25" spans="2:7">
      <c r="B25" s="26" t="s">
        <v>132</v>
      </c>
      <c r="C25" s="27"/>
      <c r="D25" s="16"/>
      <c r="E25" s="7"/>
    </row>
    <row r="26" spans="2:7" ht="31.5">
      <c r="B26" s="28">
        <f>MAX(B$6:$B25)+1</f>
        <v>15</v>
      </c>
      <c r="C26" s="22" t="s">
        <v>74</v>
      </c>
      <c r="D26" s="69">
        <v>7.0000000000000007E-2</v>
      </c>
      <c r="E26" s="29" t="s">
        <v>70</v>
      </c>
      <c r="G26" s="65"/>
    </row>
    <row r="27" spans="2:7" ht="31.5">
      <c r="B27" s="28">
        <v>16</v>
      </c>
      <c r="C27" s="22" t="s">
        <v>95</v>
      </c>
      <c r="D27" s="54">
        <v>56</v>
      </c>
      <c r="E27" s="29" t="s">
        <v>80</v>
      </c>
      <c r="G27" s="65"/>
    </row>
    <row r="28" spans="2:7" ht="6" customHeight="1">
      <c r="B28" s="8"/>
      <c r="C28" s="9"/>
      <c r="D28" s="11"/>
      <c r="E28" s="10"/>
    </row>
    <row r="29" spans="2:7">
      <c r="B29" s="19">
        <f>MAX(B$6:$B28)+1</f>
        <v>17</v>
      </c>
      <c r="C29" s="20" t="s">
        <v>72</v>
      </c>
      <c r="D29" s="23">
        <f>D13*(1-D10)</f>
        <v>1530.864197530864</v>
      </c>
      <c r="E29" s="21" t="str">
        <f>"("&amp;B13&amp;") * ("&amp;B10&amp;")"</f>
        <v>(7) * (5)</v>
      </c>
    </row>
    <row r="30" spans="2:7">
      <c r="B30" s="19">
        <f>MAX(B$6:$B29)+1</f>
        <v>18</v>
      </c>
      <c r="C30" s="20" t="s">
        <v>73</v>
      </c>
      <c r="D30" s="23">
        <f>D29/D26</f>
        <v>21869.488536155197</v>
      </c>
      <c r="E30" s="21" t="str">
        <f>"("&amp;B29&amp;") / ("&amp;B26&amp;")"</f>
        <v>(17) / (15)</v>
      </c>
    </row>
    <row r="31" spans="2:7">
      <c r="B31" s="49">
        <f>MAX(B$6:$B30)+1</f>
        <v>19</v>
      </c>
      <c r="C31" s="66" t="s">
        <v>81</v>
      </c>
      <c r="D31" s="67">
        <f>ROUNDUP(D30/D27/D22,0)</f>
        <v>2</v>
      </c>
      <c r="E31" s="68" t="str">
        <f>"("&amp;B30&amp;") / ("&amp;B27&amp;") / ("&amp;B22&amp;")"</f>
        <v>(18) / (16) / (13)</v>
      </c>
    </row>
    <row r="32" spans="2:7" ht="6" customHeight="1"/>
    <row r="33" spans="2:5">
      <c r="B33" s="26" t="s">
        <v>133</v>
      </c>
      <c r="C33" s="27"/>
      <c r="D33" s="16"/>
      <c r="E33" s="7"/>
    </row>
    <row r="34" spans="2:5" ht="31.5">
      <c r="B34" s="28">
        <f>MAX(B$6:$B33)+1</f>
        <v>20</v>
      </c>
      <c r="C34" s="22" t="s">
        <v>27</v>
      </c>
      <c r="D34" s="54">
        <v>29</v>
      </c>
      <c r="E34" s="29" t="s">
        <v>118</v>
      </c>
    </row>
    <row r="35" spans="2:5" ht="6" customHeight="1">
      <c r="B35" s="8"/>
      <c r="C35" s="9"/>
      <c r="D35" s="12"/>
      <c r="E35" s="10"/>
    </row>
    <row r="36" spans="2:5">
      <c r="B36" s="19">
        <f>MAX(B$6:$B35)+1</f>
        <v>21</v>
      </c>
      <c r="C36" s="20" t="s">
        <v>31</v>
      </c>
      <c r="D36" s="23">
        <f>D34*(365/D9)</f>
        <v>352.83333333333331</v>
      </c>
      <c r="E36" s="21" t="str">
        <f>"(365 / ("&amp;B9&amp;")) * ("&amp;B34&amp;")"</f>
        <v>(365 / (4)) * (20)</v>
      </c>
    </row>
    <row r="37" spans="2:5">
      <c r="B37" s="13">
        <f>MAX(B$6:$B36)+1</f>
        <v>22</v>
      </c>
      <c r="C37" s="14" t="s">
        <v>28</v>
      </c>
      <c r="D37" s="15">
        <f>ROUNDUP(D13/D36,0)</f>
        <v>7</v>
      </c>
      <c r="E37" s="68" t="str">
        <f>"("&amp;B36&amp;") / ("&amp;B34&amp;")"</f>
        <v>(21) / (20)</v>
      </c>
    </row>
    <row r="38" spans="2:5" ht="6" customHeight="1"/>
    <row r="39" spans="2:5">
      <c r="B39" s="26" t="s">
        <v>134</v>
      </c>
      <c r="C39" s="27"/>
      <c r="D39" s="50"/>
      <c r="E39" s="7"/>
    </row>
    <row r="40" spans="2:5">
      <c r="B40" s="8">
        <f>MAX(B$6:$B39)+1</f>
        <v>23</v>
      </c>
      <c r="C40" s="9" t="s">
        <v>8</v>
      </c>
      <c r="D40" s="51">
        <v>72000</v>
      </c>
      <c r="E40" s="10" t="s">
        <v>22</v>
      </c>
    </row>
    <row r="41" spans="2:5">
      <c r="B41" s="19">
        <f>MAX(B$6:$B40)+1</f>
        <v>24</v>
      </c>
      <c r="C41" s="20" t="s">
        <v>84</v>
      </c>
      <c r="D41" s="52">
        <v>72000</v>
      </c>
      <c r="E41" s="21" t="s">
        <v>85</v>
      </c>
    </row>
    <row r="42" spans="2:5" ht="31.5">
      <c r="B42" s="19">
        <f>MAX(B$6:$B41)+1</f>
        <v>25</v>
      </c>
      <c r="C42" s="20" t="s">
        <v>75</v>
      </c>
      <c r="D42" s="52">
        <v>35</v>
      </c>
      <c r="E42" s="21" t="s">
        <v>76</v>
      </c>
    </row>
    <row r="43" spans="2:5">
      <c r="B43" s="19">
        <f>MAX(B$6:$B42)+1</f>
        <v>26</v>
      </c>
      <c r="C43" s="20" t="s">
        <v>9</v>
      </c>
      <c r="D43" s="52">
        <v>109000</v>
      </c>
      <c r="E43" s="21" t="s">
        <v>21</v>
      </c>
    </row>
    <row r="44" spans="2:5">
      <c r="B44" s="19">
        <f>MAX(B$6:$B43)+1</f>
        <v>27</v>
      </c>
      <c r="C44" s="20" t="s">
        <v>30</v>
      </c>
      <c r="D44" s="53">
        <v>0.2</v>
      </c>
      <c r="E44" s="21" t="s">
        <v>23</v>
      </c>
    </row>
    <row r="45" spans="2:5" ht="7" customHeight="1">
      <c r="B45" s="8"/>
      <c r="C45" s="9"/>
      <c r="D45" s="11"/>
      <c r="E45" s="10"/>
    </row>
    <row r="46" spans="2:5">
      <c r="B46" s="19">
        <f>MAX(B$6:$B45)+1</f>
        <v>28</v>
      </c>
      <c r="C46" s="20" t="s">
        <v>10</v>
      </c>
      <c r="D46" s="23">
        <f>(D40*D23)*(1+D44)</f>
        <v>1296000</v>
      </c>
      <c r="E46" s="21" t="str">
        <f>"(("&amp;B23&amp;") * ("&amp;B40&amp;")) * (1 + ("&amp;$B$44&amp;"))"</f>
        <v>((14) * (23)) * (1 + (27))</v>
      </c>
    </row>
    <row r="47" spans="2:5">
      <c r="B47" s="19">
        <f>MAX(B$6:$B46)+1</f>
        <v>29</v>
      </c>
      <c r="C47" s="20" t="s">
        <v>83</v>
      </c>
      <c r="D47" s="23">
        <f>D31*D41*(1+D44)</f>
        <v>172800</v>
      </c>
      <c r="E47" s="21" t="str">
        <f>"(("&amp;B31&amp;") * ("&amp;B41&amp;")) * (1 + ("&amp;$B$44&amp;"))"</f>
        <v>((19) * (24)) * (1 + (27))</v>
      </c>
    </row>
    <row r="48" spans="2:5">
      <c r="B48" s="19">
        <f>MAX(B$6:$B47)+1</f>
        <v>30</v>
      </c>
      <c r="C48" s="20" t="s">
        <v>82</v>
      </c>
      <c r="D48" s="23">
        <f>D42*D30</f>
        <v>765432.0987654319</v>
      </c>
      <c r="E48" s="21" t="str">
        <f>"("&amp;B30&amp;") * ("&amp;B42&amp;")"</f>
        <v>(18) * (25)</v>
      </c>
    </row>
    <row r="49" spans="2:5">
      <c r="B49" s="19">
        <f>MAX(B$6:$B48)+1</f>
        <v>31</v>
      </c>
      <c r="C49" s="20" t="s">
        <v>11</v>
      </c>
      <c r="D49" s="23">
        <f>(D37*D43)*(1+D44)</f>
        <v>915600</v>
      </c>
      <c r="E49" s="21" t="str">
        <f>"(("&amp;B37&amp;") * ("&amp;B43&amp;")) * (1 + ("&amp;$B$44&amp;"))"</f>
        <v>((22) * (26)) * (1 + (27))</v>
      </c>
    </row>
    <row r="50" spans="2:5">
      <c r="B50" s="13">
        <f>MAX(B$6:$B49)+1</f>
        <v>32</v>
      </c>
      <c r="C50" s="14" t="s">
        <v>119</v>
      </c>
      <c r="D50" s="15">
        <f>D46+D49+D48</f>
        <v>2977032.0987654319</v>
      </c>
      <c r="E50" s="68" t="str">
        <f>"("&amp;B46&amp;") + ("&amp;B47&amp;") + ("&amp;B48&amp;") + ("&amp;B49&amp;")"</f>
        <v>(28) + (29) + (30) + (31)</v>
      </c>
    </row>
    <row r="51" spans="2:5" ht="6" customHeight="1"/>
    <row r="52" spans="2:5">
      <c r="B52" s="26" t="s">
        <v>135</v>
      </c>
      <c r="C52" s="17"/>
      <c r="D52" s="16"/>
      <c r="E52" s="7"/>
    </row>
    <row r="53" spans="2:5">
      <c r="B53" s="8">
        <f>MAX(B$6:$B52)+1</f>
        <v>33</v>
      </c>
      <c r="C53" s="9" t="s">
        <v>7</v>
      </c>
      <c r="D53" s="12">
        <f>D6/D37/12</f>
        <v>119047.61904761905</v>
      </c>
      <c r="E53" s="10" t="str">
        <f>"("&amp;B6&amp;") / ("&amp;$B$37&amp;") / 12 months"</f>
        <v>(1) / (22) / 12 months</v>
      </c>
    </row>
    <row r="54" spans="2:5">
      <c r="B54" s="19">
        <f>MAX(B$6:$B53)+1</f>
        <v>34</v>
      </c>
      <c r="C54" s="20" t="s">
        <v>3</v>
      </c>
      <c r="D54" s="23">
        <f>D12/D37/12</f>
        <v>7.9365079365079358</v>
      </c>
      <c r="E54" s="21" t="str">
        <f>"("&amp;B12&amp;") / ("&amp;$B$37&amp;") / 12 months"</f>
        <v>(6) / (22) / 12 months</v>
      </c>
    </row>
    <row r="55" spans="2:5">
      <c r="B55" s="19">
        <f>MAX(B$6:$B54)+1</f>
        <v>35</v>
      </c>
      <c r="C55" s="20" t="s">
        <v>2</v>
      </c>
      <c r="D55" s="23">
        <f>D13/D23/12</f>
        <v>13.717421124828531</v>
      </c>
      <c r="E55" s="21" t="str">
        <f>"("&amp;B13&amp;") / ("&amp;$B$23&amp;") / 12 months"</f>
        <v>(7) / (14) / 12 months</v>
      </c>
    </row>
    <row r="56" spans="2:5">
      <c r="B56" s="19">
        <f>MAX(B$6:$B55)+1</f>
        <v>36</v>
      </c>
      <c r="C56" s="20" t="s">
        <v>77</v>
      </c>
      <c r="D56" s="23">
        <f>D30/12</f>
        <v>1822.4573780129331</v>
      </c>
      <c r="E56" s="29" t="str">
        <f>"("&amp;B30&amp;") / 12 months"</f>
        <v>(18) / 12 months</v>
      </c>
    </row>
    <row r="57" spans="2:5">
      <c r="B57" s="19">
        <f>MAX(B$6:$B56)+1</f>
        <v>37</v>
      </c>
      <c r="C57" s="20" t="s">
        <v>78</v>
      </c>
      <c r="D57" s="23">
        <f>D29/12</f>
        <v>127.57201646090533</v>
      </c>
      <c r="E57" s="10" t="str">
        <f>"("&amp;B29&amp;") / 12 months"</f>
        <v>(17) / 12 months</v>
      </c>
    </row>
    <row r="58" spans="2:5">
      <c r="B58" s="19">
        <f>MAX(B$6:$B57)+1</f>
        <v>38</v>
      </c>
      <c r="C58" s="20" t="s">
        <v>34</v>
      </c>
      <c r="D58" s="25">
        <f>D50/D6</f>
        <v>0.2977032098765432</v>
      </c>
      <c r="E58" s="21" t="str">
        <f>"("&amp;B50&amp;") / ("&amp;B6&amp;")"</f>
        <v>(32) / (1)</v>
      </c>
    </row>
    <row r="59" spans="2:5">
      <c r="B59" s="126">
        <f>MAX(B$6:$B58)+1</f>
        <v>39</v>
      </c>
      <c r="C59" s="9" t="s">
        <v>122</v>
      </c>
      <c r="D59" s="12">
        <f>D50/D12</f>
        <v>4465.5481481481484</v>
      </c>
      <c r="E59" s="124" t="str">
        <f>"("&amp;$B$50&amp;") / ("&amp;$B$12&amp;")"</f>
        <v>(32) / (6)</v>
      </c>
    </row>
    <row r="60" spans="2:5">
      <c r="B60" s="19">
        <f>MAX(B$6:$B59)+1</f>
        <v>40</v>
      </c>
      <c r="C60" s="20" t="s">
        <v>120</v>
      </c>
      <c r="D60" s="52">
        <v>36</v>
      </c>
      <c r="E60" s="21" t="s">
        <v>121</v>
      </c>
    </row>
    <row r="61" spans="2:5">
      <c r="B61" s="13">
        <f>MAX(B$6:$B60)+1</f>
        <v>41</v>
      </c>
      <c r="C61" s="14" t="s">
        <v>123</v>
      </c>
      <c r="D61" s="125">
        <f>D7*(D60/12)/D59</f>
        <v>10.077150331177458</v>
      </c>
      <c r="E61" s="127" t="str">
        <f>"(("&amp;$B$7&amp;") * ("&amp;B60&amp;") / 12 months) / ("&amp;$B$59&amp;")"</f>
        <v>((2) * (40) / 12 months) / (39)</v>
      </c>
    </row>
    <row r="62" spans="2:5" ht="6" customHeight="1"/>
    <row r="63" spans="2:5">
      <c r="B63" s="3" t="s">
        <v>25</v>
      </c>
      <c r="E63" s="30" t="s">
        <v>20</v>
      </c>
    </row>
  </sheetData>
  <phoneticPr fontId="11" type="noConversion"/>
  <hyperlinks>
    <hyperlink ref="E63" r:id="rId1"/>
  </hyperlinks>
  <printOptions horizontalCentered="1"/>
  <pageMargins left="0.2" right="0.2" top="0.2" bottom="0.2" header="0" footer="0"/>
  <pageSetup scale="81" orientation="portrait" horizontalDpi="4294967292" verticalDpi="4294967292"/>
  <ignoredErrors>
    <ignoredError sqref="D56" formula="1"/>
    <ignoredError sqref="B26 B12:B14 B29:B31 B34:B38 B59:B61 B16:B23 B40:B51 B53:B58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9"/>
  <sheetViews>
    <sheetView tabSelected="1" zoomScale="95" zoomScaleNormal="95" zoomScalePageLayoutView="95" workbookViewId="0">
      <selection activeCell="N7" sqref="N7:O7"/>
    </sheetView>
  </sheetViews>
  <sheetFormatPr baseColWidth="10" defaultColWidth="10.83203125" defaultRowHeight="15" x14ac:dyDescent="0"/>
  <cols>
    <col min="1" max="1" width="1.83203125" style="11" customWidth="1"/>
    <col min="2" max="2" width="1.83203125" style="1" customWidth="1"/>
    <col min="3" max="3" width="4.6640625" style="1" customWidth="1"/>
    <col min="4" max="4" width="25.1640625" style="1" bestFit="1" customWidth="1"/>
    <col min="5" max="5" width="11.5" style="1" bestFit="1" customWidth="1"/>
    <col min="6" max="21" width="9.6640625" style="1" customWidth="1"/>
    <col min="22" max="22" width="1.83203125" style="1" customWidth="1"/>
    <col min="23" max="23" width="10.83203125" style="11"/>
    <col min="24" max="16384" width="10.83203125" style="1"/>
  </cols>
  <sheetData>
    <row r="1" spans="1:23" s="11" customFormat="1" ht="6" customHeight="1"/>
    <row r="2" spans="1:23" ht="6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3" s="136" customFormat="1" ht="23">
      <c r="A3" s="134"/>
      <c r="B3" s="134"/>
      <c r="C3" s="135" t="s">
        <v>125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7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ht="15" customHeight="1">
      <c r="B5" s="11"/>
      <c r="C5" s="38" t="s">
        <v>126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6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>
      <c r="B7" s="11"/>
      <c r="C7" s="75" t="s">
        <v>18</v>
      </c>
      <c r="D7" s="76" t="s">
        <v>107</v>
      </c>
      <c r="E7" s="76" t="s">
        <v>104</v>
      </c>
      <c r="F7" s="77" t="s">
        <v>105</v>
      </c>
      <c r="G7" s="77" t="s">
        <v>106</v>
      </c>
      <c r="H7" s="77"/>
      <c r="I7" s="84" t="s">
        <v>108</v>
      </c>
      <c r="J7" s="32"/>
      <c r="K7" s="32"/>
      <c r="L7" s="32" t="s">
        <v>99</v>
      </c>
      <c r="M7" s="32" t="s">
        <v>111</v>
      </c>
      <c r="N7" s="147" t="s">
        <v>136</v>
      </c>
      <c r="O7" s="147"/>
      <c r="P7" s="32"/>
      <c r="Q7" s="91" t="s">
        <v>109</v>
      </c>
      <c r="R7" s="32"/>
      <c r="S7" s="32"/>
      <c r="T7" s="32" t="s">
        <v>99</v>
      </c>
      <c r="U7" s="36"/>
      <c r="V7" s="11"/>
    </row>
    <row r="8" spans="1:23">
      <c r="B8" s="11"/>
      <c r="C8" s="8">
        <v>1</v>
      </c>
      <c r="D8" s="11" t="s">
        <v>101</v>
      </c>
      <c r="E8" s="51">
        <v>5</v>
      </c>
      <c r="F8" s="129">
        <f>'Annual Capacity Quota &amp; Budget'!D37</f>
        <v>7</v>
      </c>
      <c r="G8" s="12">
        <f>F8-E8</f>
        <v>2</v>
      </c>
      <c r="H8" s="12"/>
      <c r="I8" s="11" t="s">
        <v>112</v>
      </c>
      <c r="J8" s="11"/>
      <c r="K8" s="11"/>
      <c r="L8" s="129">
        <f>'Annual Capacity Quota &amp; Budget'!D9</f>
        <v>30</v>
      </c>
      <c r="M8" s="12">
        <f>ROUND(L8/30,0)</f>
        <v>1</v>
      </c>
      <c r="N8" s="148" t="str">
        <f>IF(OR(M8+M9&gt;4,M8+M10&gt;4), "Warning", "Ok")</f>
        <v>Ok</v>
      </c>
      <c r="O8" s="148"/>
      <c r="P8" s="11"/>
      <c r="Q8" s="41" t="s">
        <v>46</v>
      </c>
      <c r="S8" s="12"/>
      <c r="T8" s="129">
        <f>'Annual Capacity Quota &amp; Budget'!D22/12</f>
        <v>19.25</v>
      </c>
      <c r="U8" s="104"/>
      <c r="V8" s="11"/>
    </row>
    <row r="9" spans="1:23">
      <c r="B9" s="11"/>
      <c r="C9" s="19">
        <f>MAX(C8:$C$8)+1</f>
        <v>2</v>
      </c>
      <c r="D9" s="44" t="s">
        <v>102</v>
      </c>
      <c r="E9" s="52">
        <v>12</v>
      </c>
      <c r="F9" s="130">
        <f>'Annual Capacity Quota &amp; Budget'!D23</f>
        <v>15</v>
      </c>
      <c r="G9" s="23">
        <f t="shared" ref="G9:G10" si="0">F9-E9</f>
        <v>3</v>
      </c>
      <c r="H9" s="23"/>
      <c r="I9" s="44" t="s">
        <v>114</v>
      </c>
      <c r="J9" s="44"/>
      <c r="K9" s="44"/>
      <c r="L9" s="52">
        <v>30</v>
      </c>
      <c r="M9" s="23">
        <f t="shared" ref="M9:M10" si="1">ROUND(L9/30,0)</f>
        <v>1</v>
      </c>
      <c r="N9" s="149" t="str">
        <f>IF(M9+$M$8&gt;4, "Warning", "Ok")</f>
        <v>Ok</v>
      </c>
      <c r="O9" s="149"/>
      <c r="P9" s="23"/>
      <c r="Q9" s="23"/>
      <c r="R9" s="23"/>
      <c r="S9" s="23"/>
      <c r="T9" s="23"/>
      <c r="U9" s="47"/>
      <c r="V9" s="11"/>
    </row>
    <row r="10" spans="1:23">
      <c r="B10" s="11"/>
      <c r="C10" s="49">
        <f>MAX(C$8:$C9)+1</f>
        <v>3</v>
      </c>
      <c r="D10" s="105" t="s">
        <v>103</v>
      </c>
      <c r="E10" s="106">
        <v>0</v>
      </c>
      <c r="F10" s="131">
        <f>'Annual Capacity Quota &amp; Budget'!D31</f>
        <v>2</v>
      </c>
      <c r="G10" s="67">
        <f t="shared" si="0"/>
        <v>2</v>
      </c>
      <c r="H10" s="67"/>
      <c r="I10" s="105" t="s">
        <v>113</v>
      </c>
      <c r="J10" s="105"/>
      <c r="K10" s="105"/>
      <c r="L10" s="106">
        <v>30</v>
      </c>
      <c r="M10" s="67">
        <f t="shared" si="1"/>
        <v>1</v>
      </c>
      <c r="N10" s="150" t="str">
        <f>IF(M10+$M$8&gt;4, "Warning", "Ok")</f>
        <v>Ok</v>
      </c>
      <c r="O10" s="150"/>
      <c r="P10" s="67"/>
      <c r="Q10" s="67"/>
      <c r="R10" s="67"/>
      <c r="S10" s="67"/>
      <c r="T10" s="67"/>
      <c r="U10" s="107"/>
      <c r="V10" s="11"/>
    </row>
    <row r="11" spans="1:23">
      <c r="B11" s="11"/>
      <c r="C11" s="11"/>
      <c r="D11" s="11"/>
      <c r="E11" s="79"/>
      <c r="F11" s="42"/>
      <c r="G11" s="42"/>
      <c r="H11" s="42"/>
      <c r="I11" s="70"/>
      <c r="J11" s="41"/>
      <c r="K11" s="79"/>
      <c r="L11" s="43"/>
      <c r="M11" s="43"/>
      <c r="N11" s="43"/>
      <c r="O11" s="70"/>
      <c r="P11" s="41"/>
      <c r="Q11" s="33"/>
      <c r="R11" s="79"/>
      <c r="S11" s="43"/>
      <c r="T11" s="43"/>
      <c r="U11" s="43"/>
      <c r="V11" s="11"/>
    </row>
    <row r="12" spans="1:23">
      <c r="B12" s="11"/>
      <c r="C12" s="38" t="s">
        <v>127</v>
      </c>
      <c r="D12" s="11"/>
      <c r="E12" s="79"/>
      <c r="F12" s="137" t="s">
        <v>63</v>
      </c>
      <c r="G12" s="138"/>
      <c r="H12" s="138"/>
      <c r="I12" s="139"/>
      <c r="J12" s="140" t="s">
        <v>64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1"/>
    </row>
    <row r="13" spans="1:23" ht="6" customHeight="1">
      <c r="B13" s="11"/>
      <c r="C13" s="11"/>
      <c r="D13" s="11"/>
      <c r="E13" s="12"/>
      <c r="F13" s="11"/>
      <c r="G13" s="11"/>
      <c r="H13" s="11"/>
      <c r="I13" s="11"/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>
      <c r="B14" s="11"/>
      <c r="C14" s="75" t="s">
        <v>18</v>
      </c>
      <c r="D14" s="76" t="s">
        <v>6</v>
      </c>
      <c r="E14" s="77" t="s">
        <v>116</v>
      </c>
      <c r="F14" s="77" t="s">
        <v>37</v>
      </c>
      <c r="G14" s="77" t="s">
        <v>38</v>
      </c>
      <c r="H14" s="77" t="s">
        <v>39</v>
      </c>
      <c r="I14" s="77" t="s">
        <v>40</v>
      </c>
      <c r="J14" s="32" t="s">
        <v>48</v>
      </c>
      <c r="K14" s="32" t="s">
        <v>49</v>
      </c>
      <c r="L14" s="32" t="s">
        <v>50</v>
      </c>
      <c r="M14" s="32" t="s">
        <v>51</v>
      </c>
      <c r="N14" s="32" t="s">
        <v>52</v>
      </c>
      <c r="O14" s="32" t="s">
        <v>53</v>
      </c>
      <c r="P14" s="32" t="s">
        <v>54</v>
      </c>
      <c r="Q14" s="32" t="s">
        <v>55</v>
      </c>
      <c r="R14" s="32" t="s">
        <v>56</v>
      </c>
      <c r="S14" s="32" t="s">
        <v>57</v>
      </c>
      <c r="T14" s="32" t="s">
        <v>58</v>
      </c>
      <c r="U14" s="36" t="s">
        <v>59</v>
      </c>
      <c r="V14" s="11"/>
    </row>
    <row r="15" spans="1:23">
      <c r="B15" s="11"/>
      <c r="C15" s="8">
        <f>MAX(C$8:$C14)+1</f>
        <v>4</v>
      </c>
      <c r="D15" s="11" t="s">
        <v>0</v>
      </c>
      <c r="E15" s="129">
        <f>'Annual Capacity Quota &amp; Budget'!D7</f>
        <v>15000</v>
      </c>
      <c r="F15" s="51">
        <f t="shared" ref="F15:I22" si="2">$E15</f>
        <v>15000</v>
      </c>
      <c r="G15" s="51">
        <f t="shared" si="2"/>
        <v>15000</v>
      </c>
      <c r="H15" s="51">
        <f t="shared" si="2"/>
        <v>15000</v>
      </c>
      <c r="I15" s="51">
        <f t="shared" si="2"/>
        <v>15000</v>
      </c>
      <c r="J15" s="51">
        <f>$E15</f>
        <v>15000</v>
      </c>
      <c r="K15" s="51">
        <f t="shared" ref="K15:U15" si="3">$E15</f>
        <v>15000</v>
      </c>
      <c r="L15" s="51">
        <f t="shared" si="3"/>
        <v>15000</v>
      </c>
      <c r="M15" s="51">
        <f t="shared" si="3"/>
        <v>15000</v>
      </c>
      <c r="N15" s="51">
        <f t="shared" si="3"/>
        <v>15000</v>
      </c>
      <c r="O15" s="51">
        <f t="shared" si="3"/>
        <v>15000</v>
      </c>
      <c r="P15" s="51">
        <f t="shared" si="3"/>
        <v>15000</v>
      </c>
      <c r="Q15" s="51">
        <f t="shared" si="3"/>
        <v>15000</v>
      </c>
      <c r="R15" s="51">
        <f t="shared" si="3"/>
        <v>15000</v>
      </c>
      <c r="S15" s="51">
        <f t="shared" si="3"/>
        <v>15000</v>
      </c>
      <c r="T15" s="51">
        <f t="shared" si="3"/>
        <v>15000</v>
      </c>
      <c r="U15" s="108">
        <f t="shared" si="3"/>
        <v>15000</v>
      </c>
      <c r="V15" s="11"/>
    </row>
    <row r="16" spans="1:23">
      <c r="B16" s="11"/>
      <c r="C16" s="19">
        <f>MAX(C$8:$C15)+1</f>
        <v>5</v>
      </c>
      <c r="D16" s="44" t="s">
        <v>16</v>
      </c>
      <c r="E16" s="132">
        <f>'Annual Capacity Quota &amp; Budget'!D8</f>
        <v>0.27</v>
      </c>
      <c r="F16" s="63">
        <f t="shared" si="2"/>
        <v>0.27</v>
      </c>
      <c r="G16" s="63">
        <f t="shared" si="2"/>
        <v>0.27</v>
      </c>
      <c r="H16" s="63">
        <f t="shared" si="2"/>
        <v>0.27</v>
      </c>
      <c r="I16" s="63">
        <f t="shared" si="2"/>
        <v>0.27</v>
      </c>
      <c r="J16" s="63">
        <f t="shared" ref="J16:U22" si="4">$E16</f>
        <v>0.27</v>
      </c>
      <c r="K16" s="63">
        <f t="shared" si="4"/>
        <v>0.27</v>
      </c>
      <c r="L16" s="63">
        <f t="shared" si="4"/>
        <v>0.27</v>
      </c>
      <c r="M16" s="63">
        <f t="shared" si="4"/>
        <v>0.27</v>
      </c>
      <c r="N16" s="63">
        <f t="shared" si="4"/>
        <v>0.27</v>
      </c>
      <c r="O16" s="63">
        <f t="shared" si="4"/>
        <v>0.27</v>
      </c>
      <c r="P16" s="63">
        <f t="shared" si="4"/>
        <v>0.27</v>
      </c>
      <c r="Q16" s="63">
        <f t="shared" si="4"/>
        <v>0.27</v>
      </c>
      <c r="R16" s="63">
        <f t="shared" si="4"/>
        <v>0.27</v>
      </c>
      <c r="S16" s="63">
        <f t="shared" si="4"/>
        <v>0.27</v>
      </c>
      <c r="T16" s="63">
        <f t="shared" si="4"/>
        <v>0.27</v>
      </c>
      <c r="U16" s="109">
        <f t="shared" si="4"/>
        <v>0.27</v>
      </c>
      <c r="V16" s="11"/>
    </row>
    <row r="17" spans="2:22">
      <c r="B17" s="11"/>
      <c r="C17" s="28">
        <f>MAX(C$8:$C16)+1</f>
        <v>6</v>
      </c>
      <c r="D17" s="22" t="s">
        <v>65</v>
      </c>
      <c r="E17" s="133">
        <f>'Annual Capacity Quota &amp; Budget'!D34</f>
        <v>29</v>
      </c>
      <c r="F17" s="54">
        <f t="shared" si="2"/>
        <v>29</v>
      </c>
      <c r="G17" s="54">
        <f t="shared" si="2"/>
        <v>29</v>
      </c>
      <c r="H17" s="54">
        <f t="shared" si="2"/>
        <v>29</v>
      </c>
      <c r="I17" s="54">
        <f t="shared" si="2"/>
        <v>29</v>
      </c>
      <c r="J17" s="54">
        <f t="shared" si="4"/>
        <v>29</v>
      </c>
      <c r="K17" s="54">
        <f t="shared" si="4"/>
        <v>29</v>
      </c>
      <c r="L17" s="54">
        <f t="shared" si="4"/>
        <v>29</v>
      </c>
      <c r="M17" s="54">
        <f t="shared" si="4"/>
        <v>29</v>
      </c>
      <c r="N17" s="54">
        <f t="shared" si="4"/>
        <v>29</v>
      </c>
      <c r="O17" s="54">
        <f t="shared" si="4"/>
        <v>29</v>
      </c>
      <c r="P17" s="54">
        <f t="shared" si="4"/>
        <v>29</v>
      </c>
      <c r="Q17" s="54">
        <f t="shared" si="4"/>
        <v>29</v>
      </c>
      <c r="R17" s="54">
        <f t="shared" si="4"/>
        <v>29</v>
      </c>
      <c r="S17" s="54">
        <f t="shared" si="4"/>
        <v>29</v>
      </c>
      <c r="T17" s="54">
        <f t="shared" si="4"/>
        <v>29</v>
      </c>
      <c r="U17" s="110">
        <f t="shared" si="4"/>
        <v>29</v>
      </c>
      <c r="V17" s="11"/>
    </row>
    <row r="18" spans="2:22">
      <c r="B18" s="11"/>
      <c r="C18" s="19">
        <f>MAX(C$8:$C17)+1</f>
        <v>7</v>
      </c>
      <c r="D18" s="44" t="s">
        <v>68</v>
      </c>
      <c r="E18" s="132">
        <f>'Annual Capacity Quota &amp; Budget'!D10</f>
        <v>0.38</v>
      </c>
      <c r="F18" s="63">
        <f t="shared" si="2"/>
        <v>0.38</v>
      </c>
      <c r="G18" s="63">
        <f t="shared" si="2"/>
        <v>0.38</v>
      </c>
      <c r="H18" s="63">
        <f t="shared" si="2"/>
        <v>0.38</v>
      </c>
      <c r="I18" s="63">
        <f t="shared" si="2"/>
        <v>0.38</v>
      </c>
      <c r="J18" s="63">
        <f t="shared" si="4"/>
        <v>0.38</v>
      </c>
      <c r="K18" s="63">
        <f t="shared" si="4"/>
        <v>0.38</v>
      </c>
      <c r="L18" s="63">
        <f t="shared" si="4"/>
        <v>0.38</v>
      </c>
      <c r="M18" s="63">
        <f t="shared" si="4"/>
        <v>0.38</v>
      </c>
      <c r="N18" s="63">
        <f t="shared" si="4"/>
        <v>0.38</v>
      </c>
      <c r="O18" s="63">
        <f t="shared" si="4"/>
        <v>0.38</v>
      </c>
      <c r="P18" s="63">
        <f t="shared" si="4"/>
        <v>0.38</v>
      </c>
      <c r="Q18" s="63">
        <f t="shared" si="4"/>
        <v>0.38</v>
      </c>
      <c r="R18" s="63">
        <f t="shared" si="4"/>
        <v>0.38</v>
      </c>
      <c r="S18" s="63">
        <f t="shared" si="4"/>
        <v>0.38</v>
      </c>
      <c r="T18" s="63">
        <f t="shared" si="4"/>
        <v>0.38</v>
      </c>
      <c r="U18" s="109">
        <f t="shared" si="4"/>
        <v>0.38</v>
      </c>
      <c r="V18" s="11"/>
    </row>
    <row r="19" spans="2:22">
      <c r="B19" s="11"/>
      <c r="C19" s="19">
        <f>MAX(C$8:$C18)+1</f>
        <v>8</v>
      </c>
      <c r="D19" s="44" t="s">
        <v>93</v>
      </c>
      <c r="E19" s="130">
        <f>'Annual Capacity Quota &amp; Budget'!D16</f>
        <v>125</v>
      </c>
      <c r="F19" s="52">
        <f t="shared" si="2"/>
        <v>125</v>
      </c>
      <c r="G19" s="52">
        <f t="shared" si="2"/>
        <v>125</v>
      </c>
      <c r="H19" s="52">
        <f t="shared" si="2"/>
        <v>125</v>
      </c>
      <c r="I19" s="52">
        <f t="shared" si="2"/>
        <v>125</v>
      </c>
      <c r="J19" s="52">
        <f t="shared" si="4"/>
        <v>125</v>
      </c>
      <c r="K19" s="52">
        <f t="shared" si="4"/>
        <v>125</v>
      </c>
      <c r="L19" s="52">
        <f t="shared" si="4"/>
        <v>125</v>
      </c>
      <c r="M19" s="52">
        <f t="shared" si="4"/>
        <v>125</v>
      </c>
      <c r="N19" s="52">
        <f t="shared" si="4"/>
        <v>125</v>
      </c>
      <c r="O19" s="52">
        <f t="shared" si="4"/>
        <v>125</v>
      </c>
      <c r="P19" s="52">
        <f t="shared" si="4"/>
        <v>125</v>
      </c>
      <c r="Q19" s="52">
        <f t="shared" si="4"/>
        <v>125</v>
      </c>
      <c r="R19" s="52">
        <f t="shared" si="4"/>
        <v>125</v>
      </c>
      <c r="S19" s="52">
        <f t="shared" si="4"/>
        <v>125</v>
      </c>
      <c r="T19" s="52">
        <f t="shared" si="4"/>
        <v>125</v>
      </c>
      <c r="U19" s="60">
        <f t="shared" si="4"/>
        <v>125</v>
      </c>
      <c r="V19" s="11"/>
    </row>
    <row r="20" spans="2:22">
      <c r="B20" s="11"/>
      <c r="C20" s="19">
        <f>MAX(C$8:$C19)+1</f>
        <v>9</v>
      </c>
      <c r="D20" s="44" t="s">
        <v>94</v>
      </c>
      <c r="E20" s="130">
        <f>'Annual Capacity Quota &amp; Budget'!D17</f>
        <v>56</v>
      </c>
      <c r="F20" s="52">
        <f t="shared" si="2"/>
        <v>56</v>
      </c>
      <c r="G20" s="52">
        <f t="shared" si="2"/>
        <v>56</v>
      </c>
      <c r="H20" s="52">
        <f t="shared" si="2"/>
        <v>56</v>
      </c>
      <c r="I20" s="52">
        <f t="shared" si="2"/>
        <v>56</v>
      </c>
      <c r="J20" s="52">
        <f t="shared" si="4"/>
        <v>56</v>
      </c>
      <c r="K20" s="52">
        <f t="shared" si="4"/>
        <v>56</v>
      </c>
      <c r="L20" s="52">
        <f t="shared" si="4"/>
        <v>56</v>
      </c>
      <c r="M20" s="52">
        <f t="shared" si="4"/>
        <v>56</v>
      </c>
      <c r="N20" s="52">
        <f t="shared" si="4"/>
        <v>56</v>
      </c>
      <c r="O20" s="52">
        <f t="shared" si="4"/>
        <v>56</v>
      </c>
      <c r="P20" s="52">
        <f t="shared" si="4"/>
        <v>56</v>
      </c>
      <c r="Q20" s="52">
        <f t="shared" si="4"/>
        <v>56</v>
      </c>
      <c r="R20" s="52">
        <f t="shared" si="4"/>
        <v>56</v>
      </c>
      <c r="S20" s="52">
        <f t="shared" si="4"/>
        <v>56</v>
      </c>
      <c r="T20" s="52">
        <f t="shared" si="4"/>
        <v>56</v>
      </c>
      <c r="U20" s="60">
        <f t="shared" si="4"/>
        <v>56</v>
      </c>
      <c r="V20" s="11"/>
    </row>
    <row r="21" spans="2:22" ht="31.5">
      <c r="B21" s="11"/>
      <c r="C21" s="19">
        <f>MAX(C$8:$C20)+1</f>
        <v>10</v>
      </c>
      <c r="D21" s="20" t="s">
        <v>74</v>
      </c>
      <c r="E21" s="132">
        <f>'Annual Capacity Quota &amp; Budget'!D26</f>
        <v>7.0000000000000007E-2</v>
      </c>
      <c r="F21" s="63">
        <f t="shared" si="2"/>
        <v>7.0000000000000007E-2</v>
      </c>
      <c r="G21" s="63">
        <f t="shared" si="2"/>
        <v>7.0000000000000007E-2</v>
      </c>
      <c r="H21" s="63">
        <f t="shared" si="2"/>
        <v>7.0000000000000007E-2</v>
      </c>
      <c r="I21" s="63">
        <f t="shared" si="2"/>
        <v>7.0000000000000007E-2</v>
      </c>
      <c r="J21" s="63">
        <f t="shared" si="4"/>
        <v>7.0000000000000007E-2</v>
      </c>
      <c r="K21" s="63">
        <f t="shared" si="4"/>
        <v>7.0000000000000007E-2</v>
      </c>
      <c r="L21" s="63">
        <f t="shared" si="4"/>
        <v>7.0000000000000007E-2</v>
      </c>
      <c r="M21" s="63">
        <f t="shared" si="4"/>
        <v>7.0000000000000007E-2</v>
      </c>
      <c r="N21" s="63">
        <f t="shared" si="4"/>
        <v>7.0000000000000007E-2</v>
      </c>
      <c r="O21" s="63">
        <f t="shared" si="4"/>
        <v>7.0000000000000007E-2</v>
      </c>
      <c r="P21" s="63">
        <f t="shared" si="4"/>
        <v>7.0000000000000007E-2</v>
      </c>
      <c r="Q21" s="63">
        <f t="shared" si="4"/>
        <v>7.0000000000000007E-2</v>
      </c>
      <c r="R21" s="63">
        <f t="shared" si="4"/>
        <v>7.0000000000000007E-2</v>
      </c>
      <c r="S21" s="63">
        <f t="shared" si="4"/>
        <v>7.0000000000000007E-2</v>
      </c>
      <c r="T21" s="63">
        <f t="shared" si="4"/>
        <v>7.0000000000000007E-2</v>
      </c>
      <c r="U21" s="109">
        <f t="shared" si="4"/>
        <v>7.0000000000000007E-2</v>
      </c>
      <c r="V21" s="11"/>
    </row>
    <row r="22" spans="2:22">
      <c r="B22" s="11"/>
      <c r="C22" s="28">
        <f>MAX(C$8:$C21)+1</f>
        <v>11</v>
      </c>
      <c r="D22" s="48" t="s">
        <v>95</v>
      </c>
      <c r="E22" s="133">
        <f>'Annual Capacity Quota &amp; Budget'!D27</f>
        <v>56</v>
      </c>
      <c r="F22" s="54">
        <f t="shared" si="2"/>
        <v>56</v>
      </c>
      <c r="G22" s="54">
        <f t="shared" si="2"/>
        <v>56</v>
      </c>
      <c r="H22" s="54">
        <f t="shared" si="2"/>
        <v>56</v>
      </c>
      <c r="I22" s="54">
        <f t="shared" si="2"/>
        <v>56</v>
      </c>
      <c r="J22" s="54">
        <f t="shared" si="4"/>
        <v>56</v>
      </c>
      <c r="K22" s="54">
        <f t="shared" si="4"/>
        <v>56</v>
      </c>
      <c r="L22" s="54">
        <f t="shared" si="4"/>
        <v>56</v>
      </c>
      <c r="M22" s="54">
        <f t="shared" si="4"/>
        <v>56</v>
      </c>
      <c r="N22" s="54">
        <f t="shared" si="4"/>
        <v>56</v>
      </c>
      <c r="O22" s="54">
        <f t="shared" si="4"/>
        <v>56</v>
      </c>
      <c r="P22" s="54">
        <f t="shared" si="4"/>
        <v>56</v>
      </c>
      <c r="Q22" s="54">
        <f t="shared" si="4"/>
        <v>56</v>
      </c>
      <c r="R22" s="54">
        <f t="shared" si="4"/>
        <v>56</v>
      </c>
      <c r="S22" s="54">
        <f t="shared" si="4"/>
        <v>56</v>
      </c>
      <c r="T22" s="54">
        <f t="shared" si="4"/>
        <v>56</v>
      </c>
      <c r="U22" s="110">
        <f t="shared" si="4"/>
        <v>56</v>
      </c>
      <c r="V22" s="11"/>
    </row>
    <row r="23" spans="2:22" ht="5" customHeight="1">
      <c r="B23" s="11"/>
      <c r="C23" s="8"/>
      <c r="D23" s="11"/>
      <c r="E23" s="79"/>
      <c r="F23" s="42"/>
      <c r="G23" s="42"/>
      <c r="H23" s="42"/>
      <c r="I23" s="70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111"/>
      <c r="V23" s="11"/>
    </row>
    <row r="24" spans="2:22">
      <c r="B24" s="11"/>
      <c r="C24" s="112" t="s">
        <v>115</v>
      </c>
      <c r="D24" s="11"/>
      <c r="E24" s="79"/>
      <c r="F24" s="113"/>
      <c r="G24" s="113"/>
      <c r="H24" s="89" t="s">
        <v>110</v>
      </c>
      <c r="I24" s="113"/>
      <c r="J24" s="90"/>
      <c r="K24" s="90"/>
      <c r="L24" s="80"/>
      <c r="M24" s="80"/>
      <c r="N24" s="85"/>
      <c r="O24" s="80"/>
      <c r="P24" s="41"/>
      <c r="Q24" s="33"/>
      <c r="R24" s="79"/>
      <c r="S24" s="43"/>
      <c r="T24" s="43"/>
      <c r="U24" s="114"/>
      <c r="V24" s="11"/>
    </row>
    <row r="25" spans="2:22">
      <c r="B25" s="11"/>
      <c r="C25" s="8"/>
      <c r="D25" s="11"/>
      <c r="E25" s="82">
        <v>1</v>
      </c>
      <c r="F25" s="82">
        <v>2</v>
      </c>
      <c r="G25" s="82">
        <v>3</v>
      </c>
      <c r="H25" s="82">
        <v>4</v>
      </c>
      <c r="I25" s="43">
        <v>5</v>
      </c>
      <c r="J25" s="83">
        <v>6</v>
      </c>
      <c r="K25" s="80" t="s">
        <v>100</v>
      </c>
      <c r="L25" s="11"/>
      <c r="M25" s="43"/>
      <c r="N25" s="43"/>
      <c r="O25" s="70"/>
      <c r="P25" s="41"/>
      <c r="Q25" s="33"/>
      <c r="R25" s="79"/>
      <c r="S25" s="43"/>
      <c r="T25" s="43"/>
      <c r="U25" s="114"/>
      <c r="V25" s="11"/>
    </row>
    <row r="26" spans="2:22">
      <c r="B26" s="11"/>
      <c r="C26" s="19">
        <f>MAX(C$8:$C25)+1</f>
        <v>12</v>
      </c>
      <c r="D26" s="44" t="s">
        <v>97</v>
      </c>
      <c r="E26" s="63">
        <v>0.25</v>
      </c>
      <c r="F26" s="63">
        <v>0.4</v>
      </c>
      <c r="G26" s="63">
        <v>0.6</v>
      </c>
      <c r="H26" s="63">
        <v>1</v>
      </c>
      <c r="I26" s="63">
        <v>1</v>
      </c>
      <c r="J26" s="63">
        <v>1</v>
      </c>
      <c r="K26" s="62" t="b">
        <f>AND(E26&lt;=F26,F26&lt;=G26,G26&lt;=H26,H26&lt;=I26,I26&lt;=J26,J26=100%)</f>
        <v>1</v>
      </c>
      <c r="L26" s="44"/>
      <c r="M26" s="62"/>
      <c r="N26" s="62"/>
      <c r="O26" s="86"/>
      <c r="P26" s="61"/>
      <c r="Q26" s="45"/>
      <c r="R26" s="87"/>
      <c r="S26" s="62"/>
      <c r="T26" s="62"/>
      <c r="U26" s="115"/>
      <c r="V26" s="11"/>
    </row>
    <row r="27" spans="2:22">
      <c r="B27" s="11"/>
      <c r="C27" s="19">
        <f>MAX(C$8:$C26)+1</f>
        <v>13</v>
      </c>
      <c r="D27" s="44" t="s">
        <v>96</v>
      </c>
      <c r="E27" s="63">
        <v>0.33</v>
      </c>
      <c r="F27" s="63">
        <v>0.66</v>
      </c>
      <c r="G27" s="63">
        <v>1</v>
      </c>
      <c r="H27" s="63">
        <v>1</v>
      </c>
      <c r="I27" s="63">
        <v>1</v>
      </c>
      <c r="J27" s="63">
        <v>1</v>
      </c>
      <c r="K27" s="62" t="b">
        <f t="shared" ref="K27:K28" si="5">AND(E27&lt;=F27,F27&lt;=G27,G27&lt;=H27,H27&lt;=I27,I27&lt;=J27,J27=100%)</f>
        <v>1</v>
      </c>
      <c r="L27" s="44"/>
      <c r="M27" s="62"/>
      <c r="N27" s="62"/>
      <c r="O27" s="86"/>
      <c r="P27" s="61"/>
      <c r="Q27" s="45"/>
      <c r="R27" s="87"/>
      <c r="S27" s="62"/>
      <c r="T27" s="62"/>
      <c r="U27" s="115"/>
      <c r="V27" s="11"/>
    </row>
    <row r="28" spans="2:22">
      <c r="B28" s="11"/>
      <c r="C28" s="49">
        <f>MAX(C$8:$C27)+1</f>
        <v>14</v>
      </c>
      <c r="D28" s="105" t="s">
        <v>98</v>
      </c>
      <c r="E28" s="116">
        <v>0.5</v>
      </c>
      <c r="F28" s="116">
        <v>1</v>
      </c>
      <c r="G28" s="116">
        <v>1</v>
      </c>
      <c r="H28" s="116">
        <v>1</v>
      </c>
      <c r="I28" s="116">
        <v>1</v>
      </c>
      <c r="J28" s="116">
        <v>1</v>
      </c>
      <c r="K28" s="117" t="b">
        <f t="shared" si="5"/>
        <v>1</v>
      </c>
      <c r="L28" s="105"/>
      <c r="M28" s="117"/>
      <c r="N28" s="117"/>
      <c r="O28" s="118"/>
      <c r="P28" s="119"/>
      <c r="Q28" s="120"/>
      <c r="R28" s="121"/>
      <c r="S28" s="117"/>
      <c r="T28" s="117"/>
      <c r="U28" s="122"/>
      <c r="V28" s="11"/>
    </row>
    <row r="29" spans="2:22">
      <c r="B29" s="11"/>
      <c r="C29" s="11"/>
      <c r="D29" s="11"/>
      <c r="E29" s="79"/>
      <c r="F29" s="42"/>
      <c r="G29" s="42"/>
      <c r="H29" s="42"/>
      <c r="I29" s="70"/>
      <c r="J29" s="41"/>
      <c r="K29" s="79"/>
      <c r="L29" s="43"/>
      <c r="M29" s="43"/>
      <c r="N29" s="43"/>
      <c r="O29" s="70"/>
      <c r="P29" s="41"/>
      <c r="Q29" s="33"/>
      <c r="R29" s="79"/>
      <c r="S29" s="43"/>
      <c r="T29" s="43"/>
      <c r="U29" s="43"/>
      <c r="V29" s="11"/>
    </row>
    <row r="30" spans="2:22" ht="6" customHeight="1">
      <c r="B30" s="11"/>
      <c r="C30" s="11"/>
      <c r="D30" s="11"/>
      <c r="E30" s="33"/>
      <c r="F30" s="42"/>
      <c r="G30" s="42"/>
      <c r="H30" s="42"/>
      <c r="I30" s="11"/>
      <c r="J30" s="41"/>
      <c r="K30" s="41"/>
      <c r="L30" s="33"/>
      <c r="M30" s="43"/>
      <c r="N30" s="43"/>
      <c r="O30" s="43"/>
      <c r="P30" s="11"/>
      <c r="Q30" s="11"/>
      <c r="R30" s="11"/>
      <c r="S30" s="11"/>
      <c r="T30" s="11"/>
      <c r="U30" s="11"/>
      <c r="V30" s="11"/>
    </row>
    <row r="31" spans="2:22" ht="6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>
      <c r="B32" s="11"/>
      <c r="C32" s="38" t="s">
        <v>128</v>
      </c>
      <c r="D32" s="11"/>
      <c r="E32" s="11"/>
      <c r="F32" s="137" t="s">
        <v>63</v>
      </c>
      <c r="G32" s="138"/>
      <c r="H32" s="138"/>
      <c r="I32" s="139"/>
      <c r="J32" s="140" t="s">
        <v>64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9"/>
      <c r="V32" s="11"/>
    </row>
    <row r="33" spans="1:23" ht="6" customHeight="1">
      <c r="B33" s="11"/>
      <c r="C33" s="11"/>
      <c r="D33" s="11"/>
      <c r="E33" s="12"/>
      <c r="F33" s="11"/>
      <c r="G33" s="11"/>
      <c r="H33" s="11"/>
      <c r="I33" s="11"/>
      <c r="J33" s="3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3" customFormat="1" ht="15.75" hidden="1">
      <c r="A34" s="35"/>
      <c r="B34" s="35"/>
      <c r="C34" s="35"/>
      <c r="D34" s="35"/>
      <c r="E34" s="35"/>
      <c r="F34" s="35">
        <v>-3</v>
      </c>
      <c r="G34" s="35">
        <f>F34+1</f>
        <v>-2</v>
      </c>
      <c r="H34" s="35">
        <f t="shared" ref="H34:U34" si="6">G34+1</f>
        <v>-1</v>
      </c>
      <c r="I34" s="35">
        <f t="shared" si="6"/>
        <v>0</v>
      </c>
      <c r="J34" s="35">
        <f t="shared" si="6"/>
        <v>1</v>
      </c>
      <c r="K34" s="35">
        <f t="shared" si="6"/>
        <v>2</v>
      </c>
      <c r="L34" s="35">
        <f t="shared" si="6"/>
        <v>3</v>
      </c>
      <c r="M34" s="35">
        <f t="shared" si="6"/>
        <v>4</v>
      </c>
      <c r="N34" s="35">
        <f t="shared" si="6"/>
        <v>5</v>
      </c>
      <c r="O34" s="35">
        <f t="shared" si="6"/>
        <v>6</v>
      </c>
      <c r="P34" s="35">
        <f t="shared" si="6"/>
        <v>7</v>
      </c>
      <c r="Q34" s="35">
        <f t="shared" si="6"/>
        <v>8</v>
      </c>
      <c r="R34" s="35">
        <f t="shared" si="6"/>
        <v>9</v>
      </c>
      <c r="S34" s="35">
        <f t="shared" si="6"/>
        <v>10</v>
      </c>
      <c r="T34" s="35">
        <f t="shared" si="6"/>
        <v>11</v>
      </c>
      <c r="U34" s="35">
        <f t="shared" si="6"/>
        <v>12</v>
      </c>
      <c r="V34" s="35"/>
      <c r="W34" s="35"/>
    </row>
    <row r="35" spans="1:23">
      <c r="B35" s="35"/>
      <c r="C35" s="4" t="s">
        <v>18</v>
      </c>
      <c r="D35" s="5" t="s">
        <v>6</v>
      </c>
      <c r="E35" s="32" t="s">
        <v>47</v>
      </c>
      <c r="F35" s="32" t="s">
        <v>37</v>
      </c>
      <c r="G35" s="32" t="s">
        <v>38</v>
      </c>
      <c r="H35" s="32" t="s">
        <v>39</v>
      </c>
      <c r="I35" s="32" t="s">
        <v>40</v>
      </c>
      <c r="J35" s="32" t="s">
        <v>48</v>
      </c>
      <c r="K35" s="32" t="s">
        <v>49</v>
      </c>
      <c r="L35" s="32" t="s">
        <v>50</v>
      </c>
      <c r="M35" s="32" t="s">
        <v>51</v>
      </c>
      <c r="N35" s="32" t="s">
        <v>52</v>
      </c>
      <c r="O35" s="32" t="s">
        <v>53</v>
      </c>
      <c r="P35" s="32" t="s">
        <v>54</v>
      </c>
      <c r="Q35" s="32" t="s">
        <v>55</v>
      </c>
      <c r="R35" s="32" t="s">
        <v>56</v>
      </c>
      <c r="S35" s="32" t="s">
        <v>57</v>
      </c>
      <c r="T35" s="32" t="s">
        <v>58</v>
      </c>
      <c r="U35" s="36" t="s">
        <v>59</v>
      </c>
      <c r="V35" s="11"/>
    </row>
    <row r="36" spans="1:23">
      <c r="B36" s="11"/>
      <c r="C36" s="18">
        <f>MAX(C$8:$C35)+1</f>
        <v>15</v>
      </c>
      <c r="D36" s="58" t="s">
        <v>12</v>
      </c>
      <c r="E36" s="46">
        <f>SUM(F36:U36)</f>
        <v>10000000</v>
      </c>
      <c r="F36" s="81">
        <v>0</v>
      </c>
      <c r="G36" s="81">
        <v>0</v>
      </c>
      <c r="H36" s="81">
        <v>0</v>
      </c>
      <c r="I36" s="81">
        <v>0</v>
      </c>
      <c r="J36" s="57">
        <v>833333.33333333337</v>
      </c>
      <c r="K36" s="57">
        <v>833333.33333333337</v>
      </c>
      <c r="L36" s="57">
        <v>833333.33333333337</v>
      </c>
      <c r="M36" s="57">
        <v>833333.33333333337</v>
      </c>
      <c r="N36" s="57">
        <v>833333.33333333337</v>
      </c>
      <c r="O36" s="57">
        <v>833333.33333333337</v>
      </c>
      <c r="P36" s="57">
        <v>833333.33333333337</v>
      </c>
      <c r="Q36" s="57">
        <v>833333.33333333337</v>
      </c>
      <c r="R36" s="57">
        <v>833333.33333333337</v>
      </c>
      <c r="S36" s="57">
        <v>833333.33333333337</v>
      </c>
      <c r="T36" s="57">
        <v>833333.33333333337</v>
      </c>
      <c r="U36" s="59">
        <v>833333.33333333337</v>
      </c>
      <c r="V36" s="11"/>
    </row>
    <row r="37" spans="1:23">
      <c r="B37" s="11"/>
      <c r="C37" s="19">
        <f>MAX(C$8:$C36)+1</f>
        <v>16</v>
      </c>
      <c r="D37" s="44" t="s">
        <v>15</v>
      </c>
      <c r="E37" s="23">
        <f>SUM(J37:U37)</f>
        <v>666.66666666666663</v>
      </c>
      <c r="F37" s="23">
        <f t="shared" ref="F37:I37" si="7">F36/F15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ref="J37:U37" si="8">J36/J15</f>
        <v>55.555555555555557</v>
      </c>
      <c r="K37" s="23">
        <f t="shared" si="8"/>
        <v>55.555555555555557</v>
      </c>
      <c r="L37" s="23">
        <f t="shared" si="8"/>
        <v>55.555555555555557</v>
      </c>
      <c r="M37" s="23">
        <f t="shared" si="8"/>
        <v>55.555555555555557</v>
      </c>
      <c r="N37" s="23">
        <f t="shared" si="8"/>
        <v>55.555555555555557</v>
      </c>
      <c r="O37" s="23">
        <f t="shared" si="8"/>
        <v>55.555555555555557</v>
      </c>
      <c r="P37" s="23">
        <f t="shared" si="8"/>
        <v>55.555555555555557</v>
      </c>
      <c r="Q37" s="23">
        <f t="shared" si="8"/>
        <v>55.555555555555557</v>
      </c>
      <c r="R37" s="23">
        <f t="shared" si="8"/>
        <v>55.555555555555557</v>
      </c>
      <c r="S37" s="23">
        <f t="shared" si="8"/>
        <v>55.555555555555557</v>
      </c>
      <c r="T37" s="23">
        <f t="shared" si="8"/>
        <v>55.555555555555557</v>
      </c>
      <c r="U37" s="47">
        <f t="shared" si="8"/>
        <v>55.555555555555557</v>
      </c>
      <c r="V37" s="11"/>
    </row>
    <row r="38" spans="1:23">
      <c r="B38" s="11"/>
      <c r="C38" s="19">
        <f>MAX(C$8:$C37)+1</f>
        <v>17</v>
      </c>
      <c r="D38" s="44" t="s">
        <v>17</v>
      </c>
      <c r="E38" s="23">
        <f>SUM(F38:U38)</f>
        <v>2469.1358024691349</v>
      </c>
      <c r="F38" s="23">
        <f t="shared" ref="F38:U38" si="9">IF(ISERROR(HLOOKUP(F34+$M$8,$F$34:$U$37,4,FALSE)),0,HLOOKUP(F34+$M$8,$F$34:$U$37,4,FALSE))/F16</f>
        <v>0</v>
      </c>
      <c r="G38" s="23">
        <f t="shared" si="9"/>
        <v>0</v>
      </c>
      <c r="H38" s="23">
        <f t="shared" si="9"/>
        <v>0</v>
      </c>
      <c r="I38" s="23">
        <f t="shared" si="9"/>
        <v>205.76131687242798</v>
      </c>
      <c r="J38" s="23">
        <f t="shared" si="9"/>
        <v>205.76131687242798</v>
      </c>
      <c r="K38" s="23">
        <f t="shared" si="9"/>
        <v>205.76131687242798</v>
      </c>
      <c r="L38" s="23">
        <f t="shared" si="9"/>
        <v>205.76131687242798</v>
      </c>
      <c r="M38" s="23">
        <f t="shared" si="9"/>
        <v>205.76131687242798</v>
      </c>
      <c r="N38" s="23">
        <f t="shared" si="9"/>
        <v>205.76131687242798</v>
      </c>
      <c r="O38" s="23">
        <f t="shared" si="9"/>
        <v>205.76131687242798</v>
      </c>
      <c r="P38" s="23">
        <f t="shared" si="9"/>
        <v>205.76131687242798</v>
      </c>
      <c r="Q38" s="23">
        <f t="shared" si="9"/>
        <v>205.76131687242798</v>
      </c>
      <c r="R38" s="23">
        <f t="shared" si="9"/>
        <v>205.76131687242798</v>
      </c>
      <c r="S38" s="23">
        <f t="shared" si="9"/>
        <v>205.76131687242798</v>
      </c>
      <c r="T38" s="23">
        <f t="shared" si="9"/>
        <v>205.76131687242798</v>
      </c>
      <c r="U38" s="47">
        <f t="shared" si="9"/>
        <v>0</v>
      </c>
      <c r="V38" s="11"/>
    </row>
    <row r="39" spans="1:23" s="88" customFormat="1">
      <c r="A39" s="113"/>
      <c r="B39" s="113"/>
      <c r="C39" s="93">
        <f>MAX(C$8:$C38)+1</f>
        <v>18</v>
      </c>
      <c r="D39" s="94" t="s">
        <v>86</v>
      </c>
      <c r="E39" s="95">
        <f t="shared" ref="E39:E42" si="10">SUM(F39:U39)</f>
        <v>1530.8641975308644</v>
      </c>
      <c r="F39" s="95">
        <f t="shared" ref="F39:U39" si="11">F38*(1-F18)</f>
        <v>0</v>
      </c>
      <c r="G39" s="95">
        <f t="shared" si="11"/>
        <v>0</v>
      </c>
      <c r="H39" s="95">
        <f t="shared" si="11"/>
        <v>0</v>
      </c>
      <c r="I39" s="95">
        <f t="shared" si="11"/>
        <v>127.57201646090535</v>
      </c>
      <c r="J39" s="95">
        <f t="shared" si="11"/>
        <v>127.57201646090535</v>
      </c>
      <c r="K39" s="95">
        <f t="shared" si="11"/>
        <v>127.57201646090535</v>
      </c>
      <c r="L39" s="95">
        <f t="shared" si="11"/>
        <v>127.57201646090535</v>
      </c>
      <c r="M39" s="95">
        <f t="shared" si="11"/>
        <v>127.57201646090535</v>
      </c>
      <c r="N39" s="95">
        <f t="shared" si="11"/>
        <v>127.57201646090535</v>
      </c>
      <c r="O39" s="95">
        <f t="shared" si="11"/>
        <v>127.57201646090535</v>
      </c>
      <c r="P39" s="95">
        <f t="shared" si="11"/>
        <v>127.57201646090535</v>
      </c>
      <c r="Q39" s="95">
        <f t="shared" si="11"/>
        <v>127.57201646090535</v>
      </c>
      <c r="R39" s="95">
        <f t="shared" si="11"/>
        <v>127.57201646090535</v>
      </c>
      <c r="S39" s="95">
        <f t="shared" si="11"/>
        <v>127.57201646090535</v>
      </c>
      <c r="T39" s="95">
        <f t="shared" si="11"/>
        <v>127.57201646090535</v>
      </c>
      <c r="U39" s="96">
        <f t="shared" si="11"/>
        <v>0</v>
      </c>
      <c r="V39" s="113"/>
      <c r="W39" s="113"/>
    </row>
    <row r="40" spans="1:23" s="88" customFormat="1">
      <c r="A40" s="113"/>
      <c r="B40" s="113"/>
      <c r="C40" s="93">
        <f>MAX(C$8:$C39)+1</f>
        <v>19</v>
      </c>
      <c r="D40" s="94" t="s">
        <v>87</v>
      </c>
      <c r="E40" s="95">
        <f t="shared" si="10"/>
        <v>938.27160493827148</v>
      </c>
      <c r="F40" s="95">
        <f t="shared" ref="F40:U40" si="12">F18*F38</f>
        <v>0</v>
      </c>
      <c r="G40" s="95">
        <f t="shared" si="12"/>
        <v>0</v>
      </c>
      <c r="H40" s="95">
        <f t="shared" si="12"/>
        <v>0</v>
      </c>
      <c r="I40" s="95">
        <f t="shared" si="12"/>
        <v>78.189300411522638</v>
      </c>
      <c r="J40" s="95">
        <f t="shared" si="12"/>
        <v>78.189300411522638</v>
      </c>
      <c r="K40" s="95">
        <f t="shared" si="12"/>
        <v>78.189300411522638</v>
      </c>
      <c r="L40" s="95">
        <f t="shared" si="12"/>
        <v>78.189300411522638</v>
      </c>
      <c r="M40" s="95">
        <f t="shared" si="12"/>
        <v>78.189300411522638</v>
      </c>
      <c r="N40" s="95">
        <f t="shared" si="12"/>
        <v>78.189300411522638</v>
      </c>
      <c r="O40" s="95">
        <f t="shared" si="12"/>
        <v>78.189300411522638</v>
      </c>
      <c r="P40" s="95">
        <f t="shared" si="12"/>
        <v>78.189300411522638</v>
      </c>
      <c r="Q40" s="95">
        <f t="shared" si="12"/>
        <v>78.189300411522638</v>
      </c>
      <c r="R40" s="95">
        <f t="shared" si="12"/>
        <v>78.189300411522638</v>
      </c>
      <c r="S40" s="95">
        <f t="shared" si="12"/>
        <v>78.189300411522638</v>
      </c>
      <c r="T40" s="95">
        <f t="shared" si="12"/>
        <v>78.189300411522638</v>
      </c>
      <c r="U40" s="96">
        <f t="shared" si="12"/>
        <v>0</v>
      </c>
      <c r="V40" s="113"/>
      <c r="W40" s="113"/>
    </row>
    <row r="41" spans="1:23">
      <c r="B41" s="11"/>
      <c r="C41" s="19">
        <f>MAX(C$8:$C40)+1</f>
        <v>20</v>
      </c>
      <c r="D41" s="44" t="s">
        <v>41</v>
      </c>
      <c r="E41" s="23">
        <f t="shared" si="10"/>
        <v>191358.024691358</v>
      </c>
      <c r="F41" s="23">
        <f t="shared" ref="F41:U41" si="13">IF(ISERROR(HLOOKUP(F34+$M$9,$F$34:$U$40,6,FALSE)),0,HLOOKUP(F34+$M$9,$F$34:$U$40,6,FALSE))*F19</f>
        <v>0</v>
      </c>
      <c r="G41" s="23">
        <f t="shared" si="13"/>
        <v>0</v>
      </c>
      <c r="H41" s="23">
        <f t="shared" si="13"/>
        <v>15946.502057613168</v>
      </c>
      <c r="I41" s="23">
        <f t="shared" si="13"/>
        <v>15946.502057613168</v>
      </c>
      <c r="J41" s="23">
        <f t="shared" si="13"/>
        <v>15946.502057613168</v>
      </c>
      <c r="K41" s="23">
        <f t="shared" si="13"/>
        <v>15946.502057613168</v>
      </c>
      <c r="L41" s="23">
        <f t="shared" si="13"/>
        <v>15946.502057613168</v>
      </c>
      <c r="M41" s="23">
        <f t="shared" si="13"/>
        <v>15946.502057613168</v>
      </c>
      <c r="N41" s="23">
        <f t="shared" si="13"/>
        <v>15946.502057613168</v>
      </c>
      <c r="O41" s="23">
        <f t="shared" si="13"/>
        <v>15946.502057613168</v>
      </c>
      <c r="P41" s="23">
        <f t="shared" si="13"/>
        <v>15946.502057613168</v>
      </c>
      <c r="Q41" s="23">
        <f t="shared" si="13"/>
        <v>15946.502057613168</v>
      </c>
      <c r="R41" s="23">
        <f t="shared" si="13"/>
        <v>15946.502057613168</v>
      </c>
      <c r="S41" s="23">
        <f t="shared" si="13"/>
        <v>15946.502057613168</v>
      </c>
      <c r="T41" s="23">
        <f t="shared" si="13"/>
        <v>0</v>
      </c>
      <c r="U41" s="47">
        <f t="shared" si="13"/>
        <v>0</v>
      </c>
      <c r="V41" s="11"/>
    </row>
    <row r="42" spans="1:23">
      <c r="B42" s="11"/>
      <c r="C42" s="19">
        <f>MAX(C$8:$C41)+1</f>
        <v>21</v>
      </c>
      <c r="D42" s="44" t="s">
        <v>88</v>
      </c>
      <c r="E42" s="23">
        <f t="shared" si="10"/>
        <v>13403.880070546738</v>
      </c>
      <c r="F42" s="23">
        <f>IF(ISERROR(HLOOKUP(F34+$M$9,$F$34:$U$40,7,FALSE)),0,HLOOKUP(F34+$M$9,$F$34:$U$40,7,FALSE))/F21</f>
        <v>0</v>
      </c>
      <c r="G42" s="23">
        <f t="shared" ref="G42:U42" si="14">IF(ISERROR(HLOOKUP(G34+$M$9,$F$34:$U$40,7,FALSE)),0,HLOOKUP(G34+$M$9,$F$34:$U$40,7,FALSE))/G21</f>
        <v>0</v>
      </c>
      <c r="H42" s="23">
        <f t="shared" si="14"/>
        <v>1116.9900058788946</v>
      </c>
      <c r="I42" s="23">
        <f t="shared" si="14"/>
        <v>1116.9900058788946</v>
      </c>
      <c r="J42" s="23">
        <f t="shared" si="14"/>
        <v>1116.9900058788946</v>
      </c>
      <c r="K42" s="23">
        <f t="shared" si="14"/>
        <v>1116.9900058788946</v>
      </c>
      <c r="L42" s="23">
        <f t="shared" si="14"/>
        <v>1116.9900058788946</v>
      </c>
      <c r="M42" s="23">
        <f t="shared" si="14"/>
        <v>1116.9900058788946</v>
      </c>
      <c r="N42" s="23">
        <f t="shared" si="14"/>
        <v>1116.9900058788946</v>
      </c>
      <c r="O42" s="23">
        <f t="shared" si="14"/>
        <v>1116.9900058788946</v>
      </c>
      <c r="P42" s="23">
        <f t="shared" si="14"/>
        <v>1116.9900058788946</v>
      </c>
      <c r="Q42" s="23">
        <f t="shared" si="14"/>
        <v>1116.9900058788946</v>
      </c>
      <c r="R42" s="23">
        <f t="shared" si="14"/>
        <v>1116.9900058788946</v>
      </c>
      <c r="S42" s="23">
        <f t="shared" si="14"/>
        <v>1116.9900058788946</v>
      </c>
      <c r="T42" s="23">
        <f t="shared" si="14"/>
        <v>0</v>
      </c>
      <c r="U42" s="47">
        <f t="shared" si="14"/>
        <v>0</v>
      </c>
      <c r="V42" s="11"/>
    </row>
    <row r="43" spans="1:23" ht="5" customHeight="1">
      <c r="B43" s="11"/>
      <c r="C43" s="19"/>
      <c r="D43" s="4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47"/>
      <c r="V43" s="11"/>
    </row>
    <row r="44" spans="1:23">
      <c r="B44" s="11"/>
      <c r="C44" s="19">
        <f>MAX(C$8:$C43)+1</f>
        <v>22</v>
      </c>
      <c r="D44" s="58" t="s">
        <v>66</v>
      </c>
      <c r="E44" s="23">
        <f>SUM(F44:U44)</f>
        <v>2</v>
      </c>
      <c r="F44" s="52">
        <v>0</v>
      </c>
      <c r="G44" s="52">
        <v>0</v>
      </c>
      <c r="H44" s="52">
        <v>0</v>
      </c>
      <c r="I44" s="52">
        <v>1</v>
      </c>
      <c r="J44" s="52">
        <v>0</v>
      </c>
      <c r="K44" s="52">
        <v>1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60">
        <v>0</v>
      </c>
      <c r="V44" s="11"/>
    </row>
    <row r="45" spans="1:23" ht="15.75" hidden="1">
      <c r="B45" s="11"/>
      <c r="C45" s="19"/>
      <c r="D45" s="11">
        <v>-3</v>
      </c>
      <c r="E45" s="97">
        <f>INDEX($F$44:U44,1,D45+4)</f>
        <v>0</v>
      </c>
      <c r="F45" s="98">
        <f>IF(F$34-5&gt;$D45,100%,IF($D45&gt;F$34,0%,HLOOKUP(F$34-$D45+1,$E$25:$J$26,2,FALSE)))</f>
        <v>0.25</v>
      </c>
      <c r="G45" s="98">
        <f t="shared" ref="G45:U60" si="15">IF(G$34-5&gt;$D45,100%,IF($D45&gt;G$34,0%,HLOOKUP(G$34-$D45+1,$E$25:$J$26,2,FALSE)))</f>
        <v>0.4</v>
      </c>
      <c r="H45" s="98">
        <f t="shared" si="15"/>
        <v>0.6</v>
      </c>
      <c r="I45" s="98">
        <f t="shared" si="15"/>
        <v>1</v>
      </c>
      <c r="J45" s="98">
        <f t="shared" si="15"/>
        <v>1</v>
      </c>
      <c r="K45" s="98">
        <f t="shared" si="15"/>
        <v>1</v>
      </c>
      <c r="L45" s="98">
        <f t="shared" si="15"/>
        <v>1</v>
      </c>
      <c r="M45" s="98">
        <f t="shared" si="15"/>
        <v>1</v>
      </c>
      <c r="N45" s="98">
        <f t="shared" si="15"/>
        <v>1</v>
      </c>
      <c r="O45" s="98">
        <f t="shared" si="15"/>
        <v>1</v>
      </c>
      <c r="P45" s="98">
        <f t="shared" si="15"/>
        <v>1</v>
      </c>
      <c r="Q45" s="98">
        <f t="shared" si="15"/>
        <v>1</v>
      </c>
      <c r="R45" s="98">
        <f t="shared" si="15"/>
        <v>1</v>
      </c>
      <c r="S45" s="98">
        <f t="shared" si="15"/>
        <v>1</v>
      </c>
      <c r="T45" s="98">
        <f t="shared" si="15"/>
        <v>1</v>
      </c>
      <c r="U45" s="99">
        <f t="shared" si="15"/>
        <v>1</v>
      </c>
      <c r="V45" s="11"/>
    </row>
    <row r="46" spans="1:23" ht="15.75" hidden="1">
      <c r="B46" s="11"/>
      <c r="C46" s="19"/>
      <c r="D46" s="11">
        <f>D45+1</f>
        <v>-2</v>
      </c>
      <c r="E46" s="97">
        <f>INDEX($F$44:U45,1,D46+4)</f>
        <v>0</v>
      </c>
      <c r="F46" s="98">
        <f t="shared" ref="F46:F60" si="16">IF(F$34-5&gt;$D46,100%,IF($D46&gt;F$34,0%,HLOOKUP(F$34-$D46+1,$E$25:$J$26,2,FALSE)))</f>
        <v>0</v>
      </c>
      <c r="G46" s="98">
        <f t="shared" si="15"/>
        <v>0.25</v>
      </c>
      <c r="H46" s="98">
        <f t="shared" si="15"/>
        <v>0.4</v>
      </c>
      <c r="I46" s="98">
        <f t="shared" si="15"/>
        <v>0.6</v>
      </c>
      <c r="J46" s="98">
        <f t="shared" si="15"/>
        <v>1</v>
      </c>
      <c r="K46" s="98">
        <f t="shared" si="15"/>
        <v>1</v>
      </c>
      <c r="L46" s="98">
        <f t="shared" si="15"/>
        <v>1</v>
      </c>
      <c r="M46" s="98">
        <f t="shared" si="15"/>
        <v>1</v>
      </c>
      <c r="N46" s="98">
        <f t="shared" si="15"/>
        <v>1</v>
      </c>
      <c r="O46" s="98">
        <f t="shared" si="15"/>
        <v>1</v>
      </c>
      <c r="P46" s="98">
        <f t="shared" si="15"/>
        <v>1</v>
      </c>
      <c r="Q46" s="98">
        <f t="shared" si="15"/>
        <v>1</v>
      </c>
      <c r="R46" s="98">
        <f t="shared" si="15"/>
        <v>1</v>
      </c>
      <c r="S46" s="98">
        <f t="shared" si="15"/>
        <v>1</v>
      </c>
      <c r="T46" s="98">
        <f t="shared" si="15"/>
        <v>1</v>
      </c>
      <c r="U46" s="99">
        <f t="shared" si="15"/>
        <v>1</v>
      </c>
      <c r="V46" s="11"/>
    </row>
    <row r="47" spans="1:23" ht="15.75" hidden="1">
      <c r="B47" s="11"/>
      <c r="C47" s="19"/>
      <c r="D47" s="11">
        <f t="shared" ref="D47:D60" si="17">D46+1</f>
        <v>-1</v>
      </c>
      <c r="E47" s="97">
        <f>INDEX($F$44:U46,1,D47+4)</f>
        <v>0</v>
      </c>
      <c r="F47" s="98">
        <f t="shared" si="16"/>
        <v>0</v>
      </c>
      <c r="G47" s="98">
        <f t="shared" si="15"/>
        <v>0</v>
      </c>
      <c r="H47" s="98">
        <f t="shared" si="15"/>
        <v>0.25</v>
      </c>
      <c r="I47" s="98">
        <f t="shared" si="15"/>
        <v>0.4</v>
      </c>
      <c r="J47" s="98">
        <f t="shared" si="15"/>
        <v>0.6</v>
      </c>
      <c r="K47" s="98">
        <f t="shared" si="15"/>
        <v>1</v>
      </c>
      <c r="L47" s="98">
        <f t="shared" si="15"/>
        <v>1</v>
      </c>
      <c r="M47" s="98">
        <f t="shared" si="15"/>
        <v>1</v>
      </c>
      <c r="N47" s="98">
        <f t="shared" si="15"/>
        <v>1</v>
      </c>
      <c r="O47" s="98">
        <f t="shared" si="15"/>
        <v>1</v>
      </c>
      <c r="P47" s="98">
        <f t="shared" si="15"/>
        <v>1</v>
      </c>
      <c r="Q47" s="98">
        <f t="shared" si="15"/>
        <v>1</v>
      </c>
      <c r="R47" s="98">
        <f t="shared" si="15"/>
        <v>1</v>
      </c>
      <c r="S47" s="98">
        <f t="shared" si="15"/>
        <v>1</v>
      </c>
      <c r="T47" s="98">
        <f t="shared" si="15"/>
        <v>1</v>
      </c>
      <c r="U47" s="99">
        <f t="shared" si="15"/>
        <v>1</v>
      </c>
      <c r="V47" s="11"/>
    </row>
    <row r="48" spans="1:23" ht="15.75" hidden="1">
      <c r="B48" s="11"/>
      <c r="C48" s="19"/>
      <c r="D48" s="11">
        <f t="shared" si="17"/>
        <v>0</v>
      </c>
      <c r="E48" s="97">
        <f>INDEX($F$44:U47,1,D48+4)</f>
        <v>1</v>
      </c>
      <c r="F48" s="98">
        <f t="shared" si="16"/>
        <v>0</v>
      </c>
      <c r="G48" s="98">
        <f t="shared" si="15"/>
        <v>0</v>
      </c>
      <c r="H48" s="98">
        <f t="shared" si="15"/>
        <v>0</v>
      </c>
      <c r="I48" s="98">
        <f t="shared" si="15"/>
        <v>0.25</v>
      </c>
      <c r="J48" s="98">
        <f t="shared" si="15"/>
        <v>0.4</v>
      </c>
      <c r="K48" s="98">
        <f t="shared" si="15"/>
        <v>0.6</v>
      </c>
      <c r="L48" s="98">
        <f t="shared" si="15"/>
        <v>1</v>
      </c>
      <c r="M48" s="98">
        <f t="shared" si="15"/>
        <v>1</v>
      </c>
      <c r="N48" s="98">
        <f t="shared" si="15"/>
        <v>1</v>
      </c>
      <c r="O48" s="98">
        <f t="shared" si="15"/>
        <v>1</v>
      </c>
      <c r="P48" s="98">
        <f t="shared" si="15"/>
        <v>1</v>
      </c>
      <c r="Q48" s="98">
        <f t="shared" si="15"/>
        <v>1</v>
      </c>
      <c r="R48" s="98">
        <f t="shared" si="15"/>
        <v>1</v>
      </c>
      <c r="S48" s="98">
        <f t="shared" si="15"/>
        <v>1</v>
      </c>
      <c r="T48" s="98">
        <f t="shared" si="15"/>
        <v>1</v>
      </c>
      <c r="U48" s="99">
        <f t="shared" si="15"/>
        <v>1</v>
      </c>
      <c r="V48" s="11"/>
    </row>
    <row r="49" spans="2:22" ht="15.75" hidden="1">
      <c r="B49" s="11"/>
      <c r="C49" s="19"/>
      <c r="D49" s="11">
        <f t="shared" si="17"/>
        <v>1</v>
      </c>
      <c r="E49" s="97">
        <f>INDEX($F$44:U48,1,D49+4)</f>
        <v>0</v>
      </c>
      <c r="F49" s="98">
        <f t="shared" si="16"/>
        <v>0</v>
      </c>
      <c r="G49" s="98">
        <f t="shared" si="15"/>
        <v>0</v>
      </c>
      <c r="H49" s="98">
        <f t="shared" si="15"/>
        <v>0</v>
      </c>
      <c r="I49" s="98">
        <f t="shared" si="15"/>
        <v>0</v>
      </c>
      <c r="J49" s="98">
        <f t="shared" si="15"/>
        <v>0.25</v>
      </c>
      <c r="K49" s="98">
        <f t="shared" si="15"/>
        <v>0.4</v>
      </c>
      <c r="L49" s="98">
        <f t="shared" si="15"/>
        <v>0.6</v>
      </c>
      <c r="M49" s="98">
        <f t="shared" si="15"/>
        <v>1</v>
      </c>
      <c r="N49" s="98">
        <f t="shared" si="15"/>
        <v>1</v>
      </c>
      <c r="O49" s="98">
        <f t="shared" si="15"/>
        <v>1</v>
      </c>
      <c r="P49" s="98">
        <f t="shared" si="15"/>
        <v>1</v>
      </c>
      <c r="Q49" s="98">
        <f t="shared" si="15"/>
        <v>1</v>
      </c>
      <c r="R49" s="98">
        <f t="shared" si="15"/>
        <v>1</v>
      </c>
      <c r="S49" s="98">
        <f t="shared" si="15"/>
        <v>1</v>
      </c>
      <c r="T49" s="98">
        <f t="shared" si="15"/>
        <v>1</v>
      </c>
      <c r="U49" s="99">
        <f t="shared" si="15"/>
        <v>1</v>
      </c>
      <c r="V49" s="11"/>
    </row>
    <row r="50" spans="2:22" ht="15.75" hidden="1">
      <c r="B50" s="11"/>
      <c r="C50" s="19"/>
      <c r="D50" s="11">
        <f t="shared" si="17"/>
        <v>2</v>
      </c>
      <c r="E50" s="97">
        <f>INDEX($F$44:U49,1,D50+4)</f>
        <v>1</v>
      </c>
      <c r="F50" s="98">
        <f t="shared" si="16"/>
        <v>0</v>
      </c>
      <c r="G50" s="98">
        <f t="shared" si="15"/>
        <v>0</v>
      </c>
      <c r="H50" s="98">
        <f t="shared" si="15"/>
        <v>0</v>
      </c>
      <c r="I50" s="98">
        <f t="shared" si="15"/>
        <v>0</v>
      </c>
      <c r="J50" s="98">
        <f t="shared" si="15"/>
        <v>0</v>
      </c>
      <c r="K50" s="98">
        <f t="shared" si="15"/>
        <v>0.25</v>
      </c>
      <c r="L50" s="98">
        <f t="shared" si="15"/>
        <v>0.4</v>
      </c>
      <c r="M50" s="98">
        <f t="shared" si="15"/>
        <v>0.6</v>
      </c>
      <c r="N50" s="98">
        <f t="shared" si="15"/>
        <v>1</v>
      </c>
      <c r="O50" s="98">
        <f t="shared" si="15"/>
        <v>1</v>
      </c>
      <c r="P50" s="98">
        <f t="shared" si="15"/>
        <v>1</v>
      </c>
      <c r="Q50" s="98">
        <f t="shared" si="15"/>
        <v>1</v>
      </c>
      <c r="R50" s="98">
        <f t="shared" si="15"/>
        <v>1</v>
      </c>
      <c r="S50" s="98">
        <f t="shared" si="15"/>
        <v>1</v>
      </c>
      <c r="T50" s="98">
        <f t="shared" si="15"/>
        <v>1</v>
      </c>
      <c r="U50" s="99">
        <f t="shared" si="15"/>
        <v>1</v>
      </c>
      <c r="V50" s="11"/>
    </row>
    <row r="51" spans="2:22" ht="15.75" hidden="1">
      <c r="B51" s="11"/>
      <c r="C51" s="19"/>
      <c r="D51" s="11">
        <f t="shared" si="17"/>
        <v>3</v>
      </c>
      <c r="E51" s="97">
        <f>INDEX($F$44:U50,1,D51+4)</f>
        <v>0</v>
      </c>
      <c r="F51" s="98">
        <f t="shared" si="16"/>
        <v>0</v>
      </c>
      <c r="G51" s="98">
        <f t="shared" si="15"/>
        <v>0</v>
      </c>
      <c r="H51" s="98">
        <f t="shared" si="15"/>
        <v>0</v>
      </c>
      <c r="I51" s="98">
        <f t="shared" si="15"/>
        <v>0</v>
      </c>
      <c r="J51" s="98">
        <f t="shared" si="15"/>
        <v>0</v>
      </c>
      <c r="K51" s="98">
        <f t="shared" si="15"/>
        <v>0</v>
      </c>
      <c r="L51" s="98">
        <f t="shared" si="15"/>
        <v>0.25</v>
      </c>
      <c r="M51" s="98">
        <f t="shared" si="15"/>
        <v>0.4</v>
      </c>
      <c r="N51" s="98">
        <f t="shared" si="15"/>
        <v>0.6</v>
      </c>
      <c r="O51" s="98">
        <f t="shared" si="15"/>
        <v>1</v>
      </c>
      <c r="P51" s="98">
        <f t="shared" si="15"/>
        <v>1</v>
      </c>
      <c r="Q51" s="98">
        <f t="shared" si="15"/>
        <v>1</v>
      </c>
      <c r="R51" s="98">
        <f t="shared" si="15"/>
        <v>1</v>
      </c>
      <c r="S51" s="98">
        <f t="shared" si="15"/>
        <v>1</v>
      </c>
      <c r="T51" s="98">
        <f t="shared" si="15"/>
        <v>1</v>
      </c>
      <c r="U51" s="99">
        <f t="shared" si="15"/>
        <v>1</v>
      </c>
      <c r="V51" s="11"/>
    </row>
    <row r="52" spans="2:22" ht="15.75" hidden="1">
      <c r="B52" s="11"/>
      <c r="C52" s="19"/>
      <c r="D52" s="11">
        <f t="shared" si="17"/>
        <v>4</v>
      </c>
      <c r="E52" s="97">
        <f>INDEX($F$44:U51,1,D52+4)</f>
        <v>0</v>
      </c>
      <c r="F52" s="98">
        <f t="shared" si="16"/>
        <v>0</v>
      </c>
      <c r="G52" s="98">
        <f t="shared" si="15"/>
        <v>0</v>
      </c>
      <c r="H52" s="98">
        <f t="shared" si="15"/>
        <v>0</v>
      </c>
      <c r="I52" s="98">
        <f t="shared" si="15"/>
        <v>0</v>
      </c>
      <c r="J52" s="98">
        <f t="shared" si="15"/>
        <v>0</v>
      </c>
      <c r="K52" s="98">
        <f t="shared" si="15"/>
        <v>0</v>
      </c>
      <c r="L52" s="98">
        <f t="shared" si="15"/>
        <v>0</v>
      </c>
      <c r="M52" s="98">
        <f t="shared" si="15"/>
        <v>0.25</v>
      </c>
      <c r="N52" s="98">
        <f t="shared" si="15"/>
        <v>0.4</v>
      </c>
      <c r="O52" s="98">
        <f t="shared" si="15"/>
        <v>0.6</v>
      </c>
      <c r="P52" s="98">
        <f t="shared" si="15"/>
        <v>1</v>
      </c>
      <c r="Q52" s="98">
        <f t="shared" si="15"/>
        <v>1</v>
      </c>
      <c r="R52" s="98">
        <f t="shared" si="15"/>
        <v>1</v>
      </c>
      <c r="S52" s="98">
        <f t="shared" si="15"/>
        <v>1</v>
      </c>
      <c r="T52" s="98">
        <f t="shared" si="15"/>
        <v>1</v>
      </c>
      <c r="U52" s="99">
        <f t="shared" si="15"/>
        <v>1</v>
      </c>
      <c r="V52" s="11"/>
    </row>
    <row r="53" spans="2:22" ht="15.75" hidden="1">
      <c r="B53" s="11"/>
      <c r="C53" s="19"/>
      <c r="D53" s="11">
        <f t="shared" si="17"/>
        <v>5</v>
      </c>
      <c r="E53" s="97">
        <f>INDEX($F$44:U52,1,D53+4)</f>
        <v>0</v>
      </c>
      <c r="F53" s="98">
        <f t="shared" si="16"/>
        <v>0</v>
      </c>
      <c r="G53" s="98">
        <f t="shared" si="15"/>
        <v>0</v>
      </c>
      <c r="H53" s="98">
        <f t="shared" si="15"/>
        <v>0</v>
      </c>
      <c r="I53" s="98">
        <f t="shared" si="15"/>
        <v>0</v>
      </c>
      <c r="J53" s="98">
        <f t="shared" si="15"/>
        <v>0</v>
      </c>
      <c r="K53" s="98">
        <f t="shared" si="15"/>
        <v>0</v>
      </c>
      <c r="L53" s="98">
        <f t="shared" si="15"/>
        <v>0</v>
      </c>
      <c r="M53" s="98">
        <f t="shared" si="15"/>
        <v>0</v>
      </c>
      <c r="N53" s="98">
        <f t="shared" si="15"/>
        <v>0.25</v>
      </c>
      <c r="O53" s="98">
        <f t="shared" si="15"/>
        <v>0.4</v>
      </c>
      <c r="P53" s="98">
        <f t="shared" si="15"/>
        <v>0.6</v>
      </c>
      <c r="Q53" s="98">
        <f t="shared" si="15"/>
        <v>1</v>
      </c>
      <c r="R53" s="98">
        <f t="shared" si="15"/>
        <v>1</v>
      </c>
      <c r="S53" s="98">
        <f t="shared" si="15"/>
        <v>1</v>
      </c>
      <c r="T53" s="98">
        <f t="shared" si="15"/>
        <v>1</v>
      </c>
      <c r="U53" s="99">
        <f t="shared" si="15"/>
        <v>1</v>
      </c>
      <c r="V53" s="11"/>
    </row>
    <row r="54" spans="2:22" ht="15.75" hidden="1">
      <c r="B54" s="11"/>
      <c r="C54" s="19"/>
      <c r="D54" s="11">
        <f t="shared" si="17"/>
        <v>6</v>
      </c>
      <c r="E54" s="97">
        <f>INDEX($F$44:U53,1,D54+4)</f>
        <v>0</v>
      </c>
      <c r="F54" s="98">
        <f t="shared" si="16"/>
        <v>0</v>
      </c>
      <c r="G54" s="98">
        <f t="shared" si="15"/>
        <v>0</v>
      </c>
      <c r="H54" s="98">
        <f t="shared" si="15"/>
        <v>0</v>
      </c>
      <c r="I54" s="98">
        <f t="shared" si="15"/>
        <v>0</v>
      </c>
      <c r="J54" s="98">
        <f t="shared" si="15"/>
        <v>0</v>
      </c>
      <c r="K54" s="98">
        <f t="shared" si="15"/>
        <v>0</v>
      </c>
      <c r="L54" s="98">
        <f t="shared" si="15"/>
        <v>0</v>
      </c>
      <c r="M54" s="98">
        <f t="shared" si="15"/>
        <v>0</v>
      </c>
      <c r="N54" s="98">
        <f t="shared" si="15"/>
        <v>0</v>
      </c>
      <c r="O54" s="98">
        <f t="shared" si="15"/>
        <v>0.25</v>
      </c>
      <c r="P54" s="98">
        <f t="shared" si="15"/>
        <v>0.4</v>
      </c>
      <c r="Q54" s="98">
        <f t="shared" si="15"/>
        <v>0.6</v>
      </c>
      <c r="R54" s="98">
        <f t="shared" si="15"/>
        <v>1</v>
      </c>
      <c r="S54" s="98">
        <f t="shared" si="15"/>
        <v>1</v>
      </c>
      <c r="T54" s="98">
        <f t="shared" si="15"/>
        <v>1</v>
      </c>
      <c r="U54" s="99">
        <f t="shared" si="15"/>
        <v>1</v>
      </c>
      <c r="V54" s="11"/>
    </row>
    <row r="55" spans="2:22" ht="15.75" hidden="1">
      <c r="B55" s="11"/>
      <c r="C55" s="19"/>
      <c r="D55" s="11">
        <f t="shared" si="17"/>
        <v>7</v>
      </c>
      <c r="E55" s="97">
        <f>INDEX($F$44:U54,1,D55+4)</f>
        <v>0</v>
      </c>
      <c r="F55" s="98">
        <f t="shared" si="16"/>
        <v>0</v>
      </c>
      <c r="G55" s="98">
        <f t="shared" si="15"/>
        <v>0</v>
      </c>
      <c r="H55" s="98">
        <f t="shared" si="15"/>
        <v>0</v>
      </c>
      <c r="I55" s="98">
        <f t="shared" si="15"/>
        <v>0</v>
      </c>
      <c r="J55" s="98">
        <f t="shared" si="15"/>
        <v>0</v>
      </c>
      <c r="K55" s="98">
        <f t="shared" si="15"/>
        <v>0</v>
      </c>
      <c r="L55" s="98">
        <f t="shared" si="15"/>
        <v>0</v>
      </c>
      <c r="M55" s="98">
        <f t="shared" si="15"/>
        <v>0</v>
      </c>
      <c r="N55" s="98">
        <f t="shared" si="15"/>
        <v>0</v>
      </c>
      <c r="O55" s="98">
        <f t="shared" si="15"/>
        <v>0</v>
      </c>
      <c r="P55" s="98">
        <f t="shared" si="15"/>
        <v>0.25</v>
      </c>
      <c r="Q55" s="98">
        <f t="shared" si="15"/>
        <v>0.4</v>
      </c>
      <c r="R55" s="98">
        <f t="shared" si="15"/>
        <v>0.6</v>
      </c>
      <c r="S55" s="98">
        <f t="shared" si="15"/>
        <v>1</v>
      </c>
      <c r="T55" s="98">
        <f t="shared" si="15"/>
        <v>1</v>
      </c>
      <c r="U55" s="99">
        <f t="shared" si="15"/>
        <v>1</v>
      </c>
      <c r="V55" s="11"/>
    </row>
    <row r="56" spans="2:22" ht="15.75" hidden="1">
      <c r="B56" s="11"/>
      <c r="C56" s="19"/>
      <c r="D56" s="11">
        <f t="shared" si="17"/>
        <v>8</v>
      </c>
      <c r="E56" s="97">
        <f>INDEX($F$44:U55,1,D56+4)</f>
        <v>0</v>
      </c>
      <c r="F56" s="98">
        <f t="shared" si="16"/>
        <v>0</v>
      </c>
      <c r="G56" s="98">
        <f t="shared" si="15"/>
        <v>0</v>
      </c>
      <c r="H56" s="98">
        <f t="shared" si="15"/>
        <v>0</v>
      </c>
      <c r="I56" s="98">
        <f t="shared" si="15"/>
        <v>0</v>
      </c>
      <c r="J56" s="98">
        <f t="shared" si="15"/>
        <v>0</v>
      </c>
      <c r="K56" s="98">
        <f t="shared" si="15"/>
        <v>0</v>
      </c>
      <c r="L56" s="98">
        <f t="shared" si="15"/>
        <v>0</v>
      </c>
      <c r="M56" s="98">
        <f t="shared" si="15"/>
        <v>0</v>
      </c>
      <c r="N56" s="98">
        <f t="shared" si="15"/>
        <v>0</v>
      </c>
      <c r="O56" s="98">
        <f t="shared" si="15"/>
        <v>0</v>
      </c>
      <c r="P56" s="98">
        <f t="shared" si="15"/>
        <v>0</v>
      </c>
      <c r="Q56" s="98">
        <f t="shared" si="15"/>
        <v>0.25</v>
      </c>
      <c r="R56" s="98">
        <f t="shared" si="15"/>
        <v>0.4</v>
      </c>
      <c r="S56" s="98">
        <f t="shared" si="15"/>
        <v>0.6</v>
      </c>
      <c r="T56" s="98">
        <f t="shared" si="15"/>
        <v>1</v>
      </c>
      <c r="U56" s="99">
        <f t="shared" si="15"/>
        <v>1</v>
      </c>
      <c r="V56" s="11"/>
    </row>
    <row r="57" spans="2:22" ht="15.75" hidden="1">
      <c r="B57" s="11"/>
      <c r="C57" s="19"/>
      <c r="D57" s="11">
        <f t="shared" si="17"/>
        <v>9</v>
      </c>
      <c r="E57" s="97">
        <f>INDEX($F$44:U56,1,D57+4)</f>
        <v>0</v>
      </c>
      <c r="F57" s="98">
        <f t="shared" si="16"/>
        <v>0</v>
      </c>
      <c r="G57" s="98">
        <f t="shared" si="15"/>
        <v>0</v>
      </c>
      <c r="H57" s="98">
        <f t="shared" si="15"/>
        <v>0</v>
      </c>
      <c r="I57" s="98">
        <f t="shared" si="15"/>
        <v>0</v>
      </c>
      <c r="J57" s="98">
        <f t="shared" si="15"/>
        <v>0</v>
      </c>
      <c r="K57" s="98">
        <f t="shared" si="15"/>
        <v>0</v>
      </c>
      <c r="L57" s="98">
        <f t="shared" si="15"/>
        <v>0</v>
      </c>
      <c r="M57" s="98">
        <f t="shared" si="15"/>
        <v>0</v>
      </c>
      <c r="N57" s="98">
        <f t="shared" si="15"/>
        <v>0</v>
      </c>
      <c r="O57" s="98">
        <f t="shared" si="15"/>
        <v>0</v>
      </c>
      <c r="P57" s="98">
        <f t="shared" si="15"/>
        <v>0</v>
      </c>
      <c r="Q57" s="98">
        <f t="shared" si="15"/>
        <v>0</v>
      </c>
      <c r="R57" s="98">
        <f t="shared" si="15"/>
        <v>0.25</v>
      </c>
      <c r="S57" s="98">
        <f t="shared" si="15"/>
        <v>0.4</v>
      </c>
      <c r="T57" s="98">
        <f t="shared" si="15"/>
        <v>0.6</v>
      </c>
      <c r="U57" s="99">
        <f t="shared" si="15"/>
        <v>1</v>
      </c>
      <c r="V57" s="11"/>
    </row>
    <row r="58" spans="2:22" ht="15.75" hidden="1">
      <c r="B58" s="11"/>
      <c r="C58" s="19"/>
      <c r="D58" s="11">
        <f t="shared" si="17"/>
        <v>10</v>
      </c>
      <c r="E58" s="97">
        <f>INDEX($F$44:U57,1,D58+4)</f>
        <v>0</v>
      </c>
      <c r="F58" s="98">
        <f t="shared" si="16"/>
        <v>0</v>
      </c>
      <c r="G58" s="98">
        <f t="shared" si="15"/>
        <v>0</v>
      </c>
      <c r="H58" s="98">
        <f t="shared" si="15"/>
        <v>0</v>
      </c>
      <c r="I58" s="98">
        <f t="shared" si="15"/>
        <v>0</v>
      </c>
      <c r="J58" s="98">
        <f t="shared" si="15"/>
        <v>0</v>
      </c>
      <c r="K58" s="98">
        <f t="shared" si="15"/>
        <v>0</v>
      </c>
      <c r="L58" s="98">
        <f t="shared" si="15"/>
        <v>0</v>
      </c>
      <c r="M58" s="98">
        <f t="shared" si="15"/>
        <v>0</v>
      </c>
      <c r="N58" s="98">
        <f t="shared" si="15"/>
        <v>0</v>
      </c>
      <c r="O58" s="98">
        <f t="shared" si="15"/>
        <v>0</v>
      </c>
      <c r="P58" s="98">
        <f t="shared" si="15"/>
        <v>0</v>
      </c>
      <c r="Q58" s="98">
        <f t="shared" si="15"/>
        <v>0</v>
      </c>
      <c r="R58" s="98">
        <f t="shared" si="15"/>
        <v>0</v>
      </c>
      <c r="S58" s="98">
        <f t="shared" si="15"/>
        <v>0.25</v>
      </c>
      <c r="T58" s="98">
        <f t="shared" si="15"/>
        <v>0.4</v>
      </c>
      <c r="U58" s="99">
        <f t="shared" si="15"/>
        <v>0.6</v>
      </c>
      <c r="V58" s="11"/>
    </row>
    <row r="59" spans="2:22" ht="15.75" hidden="1">
      <c r="B59" s="11"/>
      <c r="C59" s="19"/>
      <c r="D59" s="11">
        <f t="shared" si="17"/>
        <v>11</v>
      </c>
      <c r="E59" s="97">
        <f>INDEX($F$44:U58,1,D59+4)</f>
        <v>0</v>
      </c>
      <c r="F59" s="98">
        <f t="shared" si="16"/>
        <v>0</v>
      </c>
      <c r="G59" s="98">
        <f t="shared" si="15"/>
        <v>0</v>
      </c>
      <c r="H59" s="98">
        <f t="shared" si="15"/>
        <v>0</v>
      </c>
      <c r="I59" s="98">
        <f t="shared" si="15"/>
        <v>0</v>
      </c>
      <c r="J59" s="98">
        <f t="shared" si="15"/>
        <v>0</v>
      </c>
      <c r="K59" s="98">
        <f t="shared" si="15"/>
        <v>0</v>
      </c>
      <c r="L59" s="98">
        <f t="shared" si="15"/>
        <v>0</v>
      </c>
      <c r="M59" s="98">
        <f t="shared" si="15"/>
        <v>0</v>
      </c>
      <c r="N59" s="98">
        <f t="shared" si="15"/>
        <v>0</v>
      </c>
      <c r="O59" s="98">
        <f t="shared" si="15"/>
        <v>0</v>
      </c>
      <c r="P59" s="98">
        <f t="shared" si="15"/>
        <v>0</v>
      </c>
      <c r="Q59" s="98">
        <f t="shared" si="15"/>
        <v>0</v>
      </c>
      <c r="R59" s="98">
        <f t="shared" si="15"/>
        <v>0</v>
      </c>
      <c r="S59" s="98">
        <f t="shared" si="15"/>
        <v>0</v>
      </c>
      <c r="T59" s="98">
        <f t="shared" si="15"/>
        <v>0.25</v>
      </c>
      <c r="U59" s="99">
        <f t="shared" si="15"/>
        <v>0.4</v>
      </c>
      <c r="V59" s="11"/>
    </row>
    <row r="60" spans="2:22" ht="15.75" hidden="1">
      <c r="B60" s="11"/>
      <c r="C60" s="19"/>
      <c r="D60" s="11">
        <f t="shared" si="17"/>
        <v>12</v>
      </c>
      <c r="E60" s="97">
        <f>INDEX($F$44:U59,1,D60+4)</f>
        <v>0</v>
      </c>
      <c r="F60" s="98">
        <f t="shared" si="16"/>
        <v>0</v>
      </c>
      <c r="G60" s="98">
        <f t="shared" si="15"/>
        <v>0</v>
      </c>
      <c r="H60" s="98">
        <f t="shared" si="15"/>
        <v>0</v>
      </c>
      <c r="I60" s="98">
        <f t="shared" si="15"/>
        <v>0</v>
      </c>
      <c r="J60" s="98">
        <f t="shared" si="15"/>
        <v>0</v>
      </c>
      <c r="K60" s="98">
        <f t="shared" si="15"/>
        <v>0</v>
      </c>
      <c r="L60" s="98">
        <f t="shared" si="15"/>
        <v>0</v>
      </c>
      <c r="M60" s="98">
        <f t="shared" si="15"/>
        <v>0</v>
      </c>
      <c r="N60" s="98">
        <f t="shared" si="15"/>
        <v>0</v>
      </c>
      <c r="O60" s="98">
        <f t="shared" si="15"/>
        <v>0</v>
      </c>
      <c r="P60" s="98">
        <f t="shared" si="15"/>
        <v>0</v>
      </c>
      <c r="Q60" s="98">
        <f t="shared" si="15"/>
        <v>0</v>
      </c>
      <c r="R60" s="98">
        <f t="shared" si="15"/>
        <v>0</v>
      </c>
      <c r="S60" s="98">
        <f t="shared" si="15"/>
        <v>0</v>
      </c>
      <c r="T60" s="98">
        <f t="shared" si="15"/>
        <v>0</v>
      </c>
      <c r="U60" s="99">
        <f t="shared" si="15"/>
        <v>0.25</v>
      </c>
      <c r="V60" s="11"/>
    </row>
    <row r="61" spans="2:22">
      <c r="B61" s="11"/>
      <c r="C61" s="19">
        <f>MAX(C$8:$C60)+1</f>
        <v>23</v>
      </c>
      <c r="D61" s="44" t="s">
        <v>61</v>
      </c>
      <c r="E61" s="23"/>
      <c r="F61" s="64">
        <f>SUMPRODUCT($E$45:$E$60,F$45:F$60)</f>
        <v>0</v>
      </c>
      <c r="G61" s="64">
        <f t="shared" ref="G61:U61" si="18">SUMPRODUCT($E$45:$E$60,G$45:G$60)</f>
        <v>0</v>
      </c>
      <c r="H61" s="64">
        <f t="shared" si="18"/>
        <v>0</v>
      </c>
      <c r="I61" s="64">
        <f t="shared" si="18"/>
        <v>0.25</v>
      </c>
      <c r="J61" s="64">
        <f t="shared" si="18"/>
        <v>0.4</v>
      </c>
      <c r="K61" s="64">
        <f t="shared" si="18"/>
        <v>0.85</v>
      </c>
      <c r="L61" s="64">
        <f t="shared" si="18"/>
        <v>1.4</v>
      </c>
      <c r="M61" s="64">
        <f t="shared" si="18"/>
        <v>1.6</v>
      </c>
      <c r="N61" s="64">
        <f t="shared" si="18"/>
        <v>2</v>
      </c>
      <c r="O61" s="64">
        <f t="shared" si="18"/>
        <v>2</v>
      </c>
      <c r="P61" s="64">
        <f t="shared" si="18"/>
        <v>2</v>
      </c>
      <c r="Q61" s="64">
        <f t="shared" si="18"/>
        <v>2</v>
      </c>
      <c r="R61" s="64">
        <f t="shared" si="18"/>
        <v>2</v>
      </c>
      <c r="S61" s="64">
        <f t="shared" si="18"/>
        <v>2</v>
      </c>
      <c r="T61" s="64">
        <f t="shared" si="18"/>
        <v>2</v>
      </c>
      <c r="U61" s="100">
        <f t="shared" si="18"/>
        <v>2</v>
      </c>
      <c r="V61" s="11"/>
    </row>
    <row r="62" spans="2:22">
      <c r="B62" s="11"/>
      <c r="C62" s="19">
        <f>MAX(C$8:$C61)+1</f>
        <v>24</v>
      </c>
      <c r="D62" s="44" t="s">
        <v>44</v>
      </c>
      <c r="E62" s="23"/>
      <c r="F62" s="23">
        <f t="shared" ref="F62:U62" si="19">$E$8+F61</f>
        <v>5</v>
      </c>
      <c r="G62" s="23">
        <f t="shared" si="19"/>
        <v>5</v>
      </c>
      <c r="H62" s="23">
        <f t="shared" si="19"/>
        <v>5</v>
      </c>
      <c r="I62" s="23">
        <f t="shared" si="19"/>
        <v>5.25</v>
      </c>
      <c r="J62" s="23">
        <f t="shared" si="19"/>
        <v>5.4</v>
      </c>
      <c r="K62" s="23">
        <f t="shared" si="19"/>
        <v>5.85</v>
      </c>
      <c r="L62" s="23">
        <f t="shared" si="19"/>
        <v>6.4</v>
      </c>
      <c r="M62" s="23">
        <f t="shared" si="19"/>
        <v>6.6</v>
      </c>
      <c r="N62" s="23">
        <f t="shared" si="19"/>
        <v>7</v>
      </c>
      <c r="O62" s="23">
        <f t="shared" si="19"/>
        <v>7</v>
      </c>
      <c r="P62" s="23">
        <f t="shared" si="19"/>
        <v>7</v>
      </c>
      <c r="Q62" s="23">
        <f t="shared" si="19"/>
        <v>7</v>
      </c>
      <c r="R62" s="23">
        <f t="shared" si="19"/>
        <v>7</v>
      </c>
      <c r="S62" s="23">
        <f t="shared" si="19"/>
        <v>7</v>
      </c>
      <c r="T62" s="23">
        <f t="shared" si="19"/>
        <v>7</v>
      </c>
      <c r="U62" s="47">
        <f t="shared" si="19"/>
        <v>7</v>
      </c>
      <c r="V62" s="11"/>
    </row>
    <row r="63" spans="2:22">
      <c r="B63" s="11"/>
      <c r="C63" s="19">
        <f>MAX(C$8:$C62)+1</f>
        <v>25</v>
      </c>
      <c r="D63" s="44" t="s">
        <v>117</v>
      </c>
      <c r="E63" s="23"/>
      <c r="F63" s="23">
        <f>F17*(365/$L$8/12)</f>
        <v>29.402777777777775</v>
      </c>
      <c r="G63" s="23">
        <f t="shared" ref="G63:U63" si="20">G17*(365/$L$8/12)</f>
        <v>29.402777777777775</v>
      </c>
      <c r="H63" s="23">
        <f t="shared" si="20"/>
        <v>29.402777777777775</v>
      </c>
      <c r="I63" s="23">
        <f t="shared" si="20"/>
        <v>29.402777777777775</v>
      </c>
      <c r="J63" s="23">
        <f t="shared" si="20"/>
        <v>29.402777777777775</v>
      </c>
      <c r="K63" s="23">
        <f t="shared" si="20"/>
        <v>29.402777777777775</v>
      </c>
      <c r="L63" s="23">
        <f t="shared" si="20"/>
        <v>29.402777777777775</v>
      </c>
      <c r="M63" s="23">
        <f t="shared" si="20"/>
        <v>29.402777777777775</v>
      </c>
      <c r="N63" s="23">
        <f t="shared" si="20"/>
        <v>29.402777777777775</v>
      </c>
      <c r="O63" s="23">
        <f t="shared" si="20"/>
        <v>29.402777777777775</v>
      </c>
      <c r="P63" s="23">
        <f t="shared" si="20"/>
        <v>29.402777777777775</v>
      </c>
      <c r="Q63" s="23">
        <f t="shared" si="20"/>
        <v>29.402777777777775</v>
      </c>
      <c r="R63" s="23">
        <f t="shared" si="20"/>
        <v>29.402777777777775</v>
      </c>
      <c r="S63" s="23">
        <f t="shared" si="20"/>
        <v>29.402777777777775</v>
      </c>
      <c r="T63" s="23">
        <f t="shared" si="20"/>
        <v>29.402777777777775</v>
      </c>
      <c r="U63" s="47">
        <f t="shared" si="20"/>
        <v>29.402777777777775</v>
      </c>
      <c r="V63" s="11"/>
    </row>
    <row r="64" spans="2:22">
      <c r="B64" s="35"/>
      <c r="C64" s="8">
        <f>MAX(C$8:$C63)+1</f>
        <v>26</v>
      </c>
      <c r="D64" s="11" t="s">
        <v>43</v>
      </c>
      <c r="E64" s="92">
        <f t="shared" ref="E64" si="21">SUM(F64:U64)</f>
        <v>2954.9791666666661</v>
      </c>
      <c r="F64" s="92">
        <f t="shared" ref="F64:U64" si="22">F62*F17*(365/$L$8/12)</f>
        <v>147.01388888888889</v>
      </c>
      <c r="G64" s="92">
        <f t="shared" si="22"/>
        <v>147.01388888888889</v>
      </c>
      <c r="H64" s="92">
        <f t="shared" si="22"/>
        <v>147.01388888888889</v>
      </c>
      <c r="I64" s="92">
        <f t="shared" si="22"/>
        <v>154.36458333333331</v>
      </c>
      <c r="J64" s="92">
        <f t="shared" si="22"/>
        <v>158.77500000000001</v>
      </c>
      <c r="K64" s="92">
        <f t="shared" si="22"/>
        <v>172.00624999999997</v>
      </c>
      <c r="L64" s="92">
        <f t="shared" si="22"/>
        <v>188.17777777777781</v>
      </c>
      <c r="M64" s="92">
        <f t="shared" si="22"/>
        <v>194.05833333333331</v>
      </c>
      <c r="N64" s="92">
        <f t="shared" si="22"/>
        <v>205.81944444444443</v>
      </c>
      <c r="O64" s="92">
        <f t="shared" si="22"/>
        <v>205.81944444444443</v>
      </c>
      <c r="P64" s="92">
        <f t="shared" si="22"/>
        <v>205.81944444444443</v>
      </c>
      <c r="Q64" s="92">
        <f t="shared" si="22"/>
        <v>205.81944444444443</v>
      </c>
      <c r="R64" s="92">
        <f t="shared" si="22"/>
        <v>205.81944444444443</v>
      </c>
      <c r="S64" s="92">
        <f t="shared" si="22"/>
        <v>205.81944444444443</v>
      </c>
      <c r="T64" s="92">
        <f t="shared" si="22"/>
        <v>205.81944444444443</v>
      </c>
      <c r="U64" s="101">
        <f t="shared" si="22"/>
        <v>205.81944444444443</v>
      </c>
      <c r="V64" s="11"/>
    </row>
    <row r="65" spans="2:22" ht="5" customHeight="1">
      <c r="B65" s="11"/>
      <c r="C65" s="19"/>
      <c r="D65" s="44"/>
      <c r="E65" s="23"/>
      <c r="F65" s="23">
        <f>F54</f>
        <v>0</v>
      </c>
      <c r="G65" s="23">
        <f t="shared" ref="G65:U65" si="23">G54</f>
        <v>0</v>
      </c>
      <c r="H65" s="23">
        <f t="shared" si="23"/>
        <v>0</v>
      </c>
      <c r="I65" s="23">
        <f t="shared" si="23"/>
        <v>0</v>
      </c>
      <c r="J65" s="23">
        <f t="shared" si="23"/>
        <v>0</v>
      </c>
      <c r="K65" s="23">
        <f t="shared" si="23"/>
        <v>0</v>
      </c>
      <c r="L65" s="23">
        <f t="shared" si="23"/>
        <v>0</v>
      </c>
      <c r="M65" s="23">
        <f t="shared" si="23"/>
        <v>0</v>
      </c>
      <c r="N65" s="23">
        <f t="shared" si="23"/>
        <v>0</v>
      </c>
      <c r="O65" s="23">
        <f t="shared" si="23"/>
        <v>0.25</v>
      </c>
      <c r="P65" s="23">
        <f t="shared" si="23"/>
        <v>0.4</v>
      </c>
      <c r="Q65" s="23">
        <f t="shared" si="23"/>
        <v>0.6</v>
      </c>
      <c r="R65" s="23">
        <f t="shared" si="23"/>
        <v>1</v>
      </c>
      <c r="S65" s="23">
        <f t="shared" si="23"/>
        <v>1</v>
      </c>
      <c r="T65" s="23">
        <f t="shared" si="23"/>
        <v>1</v>
      </c>
      <c r="U65" s="47">
        <f t="shared" si="23"/>
        <v>1</v>
      </c>
      <c r="V65" s="11"/>
    </row>
    <row r="66" spans="2:22">
      <c r="B66" s="11"/>
      <c r="C66" s="19">
        <f>MAX(C$8:$C65)+1</f>
        <v>27</v>
      </c>
      <c r="D66" s="58" t="s">
        <v>67</v>
      </c>
      <c r="E66" s="23">
        <f>SUM(F66:U66)</f>
        <v>3</v>
      </c>
      <c r="F66" s="52">
        <v>1</v>
      </c>
      <c r="G66" s="52">
        <v>1</v>
      </c>
      <c r="H66" s="52">
        <v>0</v>
      </c>
      <c r="I66" s="52">
        <v>1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/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60">
        <v>0</v>
      </c>
      <c r="V66" s="11"/>
    </row>
    <row r="67" spans="2:22" ht="15.75" hidden="1">
      <c r="B67" s="11"/>
      <c r="C67" s="19"/>
      <c r="D67" s="11">
        <v>-3</v>
      </c>
      <c r="E67" s="97">
        <f>INDEX($F$66:$U$66,1,D67+4)</f>
        <v>1</v>
      </c>
      <c r="F67" s="98">
        <f>IF(F$34-5&gt;$D67,100%,IF($D67&gt;F$34,0%,HLOOKUP(F$34-$D67+1,$E$25:$J$27,3,FALSE)))</f>
        <v>0.33</v>
      </c>
      <c r="G67" s="98">
        <f t="shared" ref="G67:U82" si="24">IF(G$34-5&gt;$D67,100%,IF($D67&gt;G$34,0%,HLOOKUP(G$34-$D67+1,$E$25:$J$27,3,FALSE)))</f>
        <v>0.66</v>
      </c>
      <c r="H67" s="98">
        <f t="shared" si="24"/>
        <v>1</v>
      </c>
      <c r="I67" s="98">
        <f t="shared" si="24"/>
        <v>1</v>
      </c>
      <c r="J67" s="98">
        <f t="shared" si="24"/>
        <v>1</v>
      </c>
      <c r="K67" s="98">
        <f t="shared" si="24"/>
        <v>1</v>
      </c>
      <c r="L67" s="98">
        <f t="shared" si="24"/>
        <v>1</v>
      </c>
      <c r="M67" s="98">
        <f t="shared" si="24"/>
        <v>1</v>
      </c>
      <c r="N67" s="98">
        <f t="shared" si="24"/>
        <v>1</v>
      </c>
      <c r="O67" s="98">
        <f t="shared" si="24"/>
        <v>1</v>
      </c>
      <c r="P67" s="98">
        <f t="shared" si="24"/>
        <v>1</v>
      </c>
      <c r="Q67" s="98">
        <f t="shared" si="24"/>
        <v>1</v>
      </c>
      <c r="R67" s="98">
        <f t="shared" si="24"/>
        <v>1</v>
      </c>
      <c r="S67" s="98">
        <f t="shared" si="24"/>
        <v>1</v>
      </c>
      <c r="T67" s="98">
        <f t="shared" si="24"/>
        <v>1</v>
      </c>
      <c r="U67" s="99">
        <f t="shared" si="24"/>
        <v>1</v>
      </c>
      <c r="V67" s="11"/>
    </row>
    <row r="68" spans="2:22" ht="15.75" hidden="1">
      <c r="B68" s="11"/>
      <c r="C68" s="19"/>
      <c r="D68" s="11">
        <f>D67+1</f>
        <v>-2</v>
      </c>
      <c r="E68" s="97">
        <f t="shared" ref="E68:E82" si="25">INDEX($F$66:$U$66,1,D68+4)</f>
        <v>1</v>
      </c>
      <c r="F68" s="98">
        <f t="shared" ref="F68:F82" si="26">IF(F$34-5&gt;$D68,100%,IF($D68&gt;F$34,0%,HLOOKUP(F$34-$D68+1,$E$25:$J$27,3,FALSE)))</f>
        <v>0</v>
      </c>
      <c r="G68" s="98">
        <f t="shared" si="24"/>
        <v>0.33</v>
      </c>
      <c r="H68" s="98">
        <f t="shared" si="24"/>
        <v>0.66</v>
      </c>
      <c r="I68" s="98">
        <f t="shared" si="24"/>
        <v>1</v>
      </c>
      <c r="J68" s="98">
        <f t="shared" si="24"/>
        <v>1</v>
      </c>
      <c r="K68" s="98">
        <f t="shared" si="24"/>
        <v>1</v>
      </c>
      <c r="L68" s="98">
        <f t="shared" si="24"/>
        <v>1</v>
      </c>
      <c r="M68" s="98">
        <f t="shared" si="24"/>
        <v>1</v>
      </c>
      <c r="N68" s="98">
        <f t="shared" si="24"/>
        <v>1</v>
      </c>
      <c r="O68" s="98">
        <f t="shared" si="24"/>
        <v>1</v>
      </c>
      <c r="P68" s="98">
        <f t="shared" si="24"/>
        <v>1</v>
      </c>
      <c r="Q68" s="98">
        <f t="shared" si="24"/>
        <v>1</v>
      </c>
      <c r="R68" s="98">
        <f t="shared" si="24"/>
        <v>1</v>
      </c>
      <c r="S68" s="98">
        <f t="shared" si="24"/>
        <v>1</v>
      </c>
      <c r="T68" s="98">
        <f t="shared" si="24"/>
        <v>1</v>
      </c>
      <c r="U68" s="99">
        <f t="shared" si="24"/>
        <v>1</v>
      </c>
      <c r="V68" s="11"/>
    </row>
    <row r="69" spans="2:22" ht="15.75" hidden="1">
      <c r="B69" s="11"/>
      <c r="C69" s="19"/>
      <c r="D69" s="11">
        <f t="shared" ref="D69:D82" si="27">D68+1</f>
        <v>-1</v>
      </c>
      <c r="E69" s="97">
        <f t="shared" si="25"/>
        <v>0</v>
      </c>
      <c r="F69" s="98">
        <f t="shared" si="26"/>
        <v>0</v>
      </c>
      <c r="G69" s="98">
        <f t="shared" si="24"/>
        <v>0</v>
      </c>
      <c r="H69" s="98">
        <f t="shared" si="24"/>
        <v>0.33</v>
      </c>
      <c r="I69" s="98">
        <f t="shared" si="24"/>
        <v>0.66</v>
      </c>
      <c r="J69" s="98">
        <f t="shared" si="24"/>
        <v>1</v>
      </c>
      <c r="K69" s="98">
        <f t="shared" si="24"/>
        <v>1</v>
      </c>
      <c r="L69" s="98">
        <f t="shared" si="24"/>
        <v>1</v>
      </c>
      <c r="M69" s="98">
        <f t="shared" si="24"/>
        <v>1</v>
      </c>
      <c r="N69" s="98">
        <f t="shared" si="24"/>
        <v>1</v>
      </c>
      <c r="O69" s="98">
        <f t="shared" si="24"/>
        <v>1</v>
      </c>
      <c r="P69" s="98">
        <f t="shared" si="24"/>
        <v>1</v>
      </c>
      <c r="Q69" s="98">
        <f t="shared" si="24"/>
        <v>1</v>
      </c>
      <c r="R69" s="98">
        <f t="shared" si="24"/>
        <v>1</v>
      </c>
      <c r="S69" s="98">
        <f t="shared" si="24"/>
        <v>1</v>
      </c>
      <c r="T69" s="98">
        <f t="shared" si="24"/>
        <v>1</v>
      </c>
      <c r="U69" s="99">
        <f t="shared" si="24"/>
        <v>1</v>
      </c>
      <c r="V69" s="11"/>
    </row>
    <row r="70" spans="2:22" ht="15.75" hidden="1">
      <c r="B70" s="11"/>
      <c r="C70" s="19"/>
      <c r="D70" s="11">
        <f t="shared" si="27"/>
        <v>0</v>
      </c>
      <c r="E70" s="97">
        <f t="shared" si="25"/>
        <v>1</v>
      </c>
      <c r="F70" s="98">
        <f t="shared" si="26"/>
        <v>0</v>
      </c>
      <c r="G70" s="98">
        <f t="shared" si="24"/>
        <v>0</v>
      </c>
      <c r="H70" s="98">
        <f t="shared" si="24"/>
        <v>0</v>
      </c>
      <c r="I70" s="98">
        <f t="shared" si="24"/>
        <v>0.33</v>
      </c>
      <c r="J70" s="98">
        <f t="shared" si="24"/>
        <v>0.66</v>
      </c>
      <c r="K70" s="98">
        <f t="shared" si="24"/>
        <v>1</v>
      </c>
      <c r="L70" s="98">
        <f t="shared" si="24"/>
        <v>1</v>
      </c>
      <c r="M70" s="98">
        <f t="shared" si="24"/>
        <v>1</v>
      </c>
      <c r="N70" s="98">
        <f t="shared" si="24"/>
        <v>1</v>
      </c>
      <c r="O70" s="98">
        <f t="shared" si="24"/>
        <v>1</v>
      </c>
      <c r="P70" s="98">
        <f t="shared" si="24"/>
        <v>1</v>
      </c>
      <c r="Q70" s="98">
        <f t="shared" si="24"/>
        <v>1</v>
      </c>
      <c r="R70" s="98">
        <f t="shared" si="24"/>
        <v>1</v>
      </c>
      <c r="S70" s="98">
        <f t="shared" si="24"/>
        <v>1</v>
      </c>
      <c r="T70" s="98">
        <f t="shared" si="24"/>
        <v>1</v>
      </c>
      <c r="U70" s="99">
        <f t="shared" si="24"/>
        <v>1</v>
      </c>
      <c r="V70" s="11"/>
    </row>
    <row r="71" spans="2:22" ht="15.75" hidden="1">
      <c r="B71" s="11"/>
      <c r="C71" s="19"/>
      <c r="D71" s="11">
        <f t="shared" si="27"/>
        <v>1</v>
      </c>
      <c r="E71" s="97">
        <f t="shared" si="25"/>
        <v>0</v>
      </c>
      <c r="F71" s="98">
        <f t="shared" si="26"/>
        <v>0</v>
      </c>
      <c r="G71" s="98">
        <f t="shared" si="24"/>
        <v>0</v>
      </c>
      <c r="H71" s="98">
        <f t="shared" si="24"/>
        <v>0</v>
      </c>
      <c r="I71" s="98">
        <f t="shared" si="24"/>
        <v>0</v>
      </c>
      <c r="J71" s="98">
        <f t="shared" si="24"/>
        <v>0.33</v>
      </c>
      <c r="K71" s="98">
        <f t="shared" si="24"/>
        <v>0.66</v>
      </c>
      <c r="L71" s="98">
        <f t="shared" si="24"/>
        <v>1</v>
      </c>
      <c r="M71" s="98">
        <f t="shared" si="24"/>
        <v>1</v>
      </c>
      <c r="N71" s="98">
        <f t="shared" si="24"/>
        <v>1</v>
      </c>
      <c r="O71" s="98">
        <f t="shared" si="24"/>
        <v>1</v>
      </c>
      <c r="P71" s="98">
        <f t="shared" si="24"/>
        <v>1</v>
      </c>
      <c r="Q71" s="98">
        <f t="shared" si="24"/>
        <v>1</v>
      </c>
      <c r="R71" s="98">
        <f t="shared" si="24"/>
        <v>1</v>
      </c>
      <c r="S71" s="98">
        <f t="shared" si="24"/>
        <v>1</v>
      </c>
      <c r="T71" s="98">
        <f t="shared" si="24"/>
        <v>1</v>
      </c>
      <c r="U71" s="99">
        <f t="shared" si="24"/>
        <v>1</v>
      </c>
      <c r="V71" s="11"/>
    </row>
    <row r="72" spans="2:22" ht="15.75" hidden="1">
      <c r="B72" s="11"/>
      <c r="C72" s="19"/>
      <c r="D72" s="11">
        <f t="shared" si="27"/>
        <v>2</v>
      </c>
      <c r="E72" s="97">
        <f t="shared" si="25"/>
        <v>0</v>
      </c>
      <c r="F72" s="98">
        <f t="shared" si="26"/>
        <v>0</v>
      </c>
      <c r="G72" s="98">
        <f t="shared" si="24"/>
        <v>0</v>
      </c>
      <c r="H72" s="98">
        <f t="shared" si="24"/>
        <v>0</v>
      </c>
      <c r="I72" s="98">
        <f t="shared" si="24"/>
        <v>0</v>
      </c>
      <c r="J72" s="98">
        <f t="shared" si="24"/>
        <v>0</v>
      </c>
      <c r="K72" s="98">
        <f t="shared" si="24"/>
        <v>0.33</v>
      </c>
      <c r="L72" s="98">
        <f t="shared" si="24"/>
        <v>0.66</v>
      </c>
      <c r="M72" s="98">
        <f t="shared" si="24"/>
        <v>1</v>
      </c>
      <c r="N72" s="98">
        <f t="shared" si="24"/>
        <v>1</v>
      </c>
      <c r="O72" s="98">
        <f t="shared" si="24"/>
        <v>1</v>
      </c>
      <c r="P72" s="98">
        <f t="shared" si="24"/>
        <v>1</v>
      </c>
      <c r="Q72" s="98">
        <f t="shared" si="24"/>
        <v>1</v>
      </c>
      <c r="R72" s="98">
        <f t="shared" si="24"/>
        <v>1</v>
      </c>
      <c r="S72" s="98">
        <f t="shared" si="24"/>
        <v>1</v>
      </c>
      <c r="T72" s="98">
        <f t="shared" si="24"/>
        <v>1</v>
      </c>
      <c r="U72" s="99">
        <f t="shared" si="24"/>
        <v>1</v>
      </c>
      <c r="V72" s="11"/>
    </row>
    <row r="73" spans="2:22" ht="15.75" hidden="1">
      <c r="B73" s="11"/>
      <c r="C73" s="19"/>
      <c r="D73" s="11">
        <f t="shared" si="27"/>
        <v>3</v>
      </c>
      <c r="E73" s="97">
        <f t="shared" si="25"/>
        <v>0</v>
      </c>
      <c r="F73" s="98">
        <f t="shared" si="26"/>
        <v>0</v>
      </c>
      <c r="G73" s="98">
        <f t="shared" si="24"/>
        <v>0</v>
      </c>
      <c r="H73" s="98">
        <f t="shared" si="24"/>
        <v>0</v>
      </c>
      <c r="I73" s="98">
        <f t="shared" si="24"/>
        <v>0</v>
      </c>
      <c r="J73" s="98">
        <f t="shared" si="24"/>
        <v>0</v>
      </c>
      <c r="K73" s="98">
        <f t="shared" si="24"/>
        <v>0</v>
      </c>
      <c r="L73" s="98">
        <f t="shared" si="24"/>
        <v>0.33</v>
      </c>
      <c r="M73" s="98">
        <f t="shared" si="24"/>
        <v>0.66</v>
      </c>
      <c r="N73" s="98">
        <f t="shared" si="24"/>
        <v>1</v>
      </c>
      <c r="O73" s="98">
        <f t="shared" si="24"/>
        <v>1</v>
      </c>
      <c r="P73" s="98">
        <f t="shared" si="24"/>
        <v>1</v>
      </c>
      <c r="Q73" s="98">
        <f t="shared" si="24"/>
        <v>1</v>
      </c>
      <c r="R73" s="98">
        <f t="shared" si="24"/>
        <v>1</v>
      </c>
      <c r="S73" s="98">
        <f t="shared" si="24"/>
        <v>1</v>
      </c>
      <c r="T73" s="98">
        <f t="shared" si="24"/>
        <v>1</v>
      </c>
      <c r="U73" s="99">
        <f t="shared" si="24"/>
        <v>1</v>
      </c>
      <c r="V73" s="11"/>
    </row>
    <row r="74" spans="2:22" ht="15.75" hidden="1">
      <c r="B74" s="11"/>
      <c r="C74" s="19"/>
      <c r="D74" s="11">
        <f t="shared" si="27"/>
        <v>4</v>
      </c>
      <c r="E74" s="97">
        <f t="shared" si="25"/>
        <v>0</v>
      </c>
      <c r="F74" s="98">
        <f t="shared" si="26"/>
        <v>0</v>
      </c>
      <c r="G74" s="98">
        <f t="shared" si="24"/>
        <v>0</v>
      </c>
      <c r="H74" s="98">
        <f t="shared" si="24"/>
        <v>0</v>
      </c>
      <c r="I74" s="98">
        <f t="shared" si="24"/>
        <v>0</v>
      </c>
      <c r="J74" s="98">
        <f t="shared" si="24"/>
        <v>0</v>
      </c>
      <c r="K74" s="98">
        <f t="shared" si="24"/>
        <v>0</v>
      </c>
      <c r="L74" s="98">
        <f t="shared" si="24"/>
        <v>0</v>
      </c>
      <c r="M74" s="98">
        <f t="shared" si="24"/>
        <v>0.33</v>
      </c>
      <c r="N74" s="98">
        <f t="shared" si="24"/>
        <v>0.66</v>
      </c>
      <c r="O74" s="98">
        <f t="shared" si="24"/>
        <v>1</v>
      </c>
      <c r="P74" s="98">
        <f t="shared" si="24"/>
        <v>1</v>
      </c>
      <c r="Q74" s="98">
        <f t="shared" si="24"/>
        <v>1</v>
      </c>
      <c r="R74" s="98">
        <f t="shared" si="24"/>
        <v>1</v>
      </c>
      <c r="S74" s="98">
        <f t="shared" si="24"/>
        <v>1</v>
      </c>
      <c r="T74" s="98">
        <f t="shared" si="24"/>
        <v>1</v>
      </c>
      <c r="U74" s="99">
        <f t="shared" si="24"/>
        <v>1</v>
      </c>
      <c r="V74" s="11"/>
    </row>
    <row r="75" spans="2:22" ht="15.75" hidden="1">
      <c r="B75" s="11"/>
      <c r="C75" s="19"/>
      <c r="D75" s="11">
        <f t="shared" si="27"/>
        <v>5</v>
      </c>
      <c r="E75" s="97">
        <f t="shared" si="25"/>
        <v>0</v>
      </c>
      <c r="F75" s="98">
        <f t="shared" si="26"/>
        <v>0</v>
      </c>
      <c r="G75" s="98">
        <f t="shared" si="24"/>
        <v>0</v>
      </c>
      <c r="H75" s="98">
        <f t="shared" si="24"/>
        <v>0</v>
      </c>
      <c r="I75" s="98">
        <f t="shared" si="24"/>
        <v>0</v>
      </c>
      <c r="J75" s="98">
        <f t="shared" si="24"/>
        <v>0</v>
      </c>
      <c r="K75" s="98">
        <f t="shared" si="24"/>
        <v>0</v>
      </c>
      <c r="L75" s="98">
        <f t="shared" si="24"/>
        <v>0</v>
      </c>
      <c r="M75" s="98">
        <f t="shared" si="24"/>
        <v>0</v>
      </c>
      <c r="N75" s="98">
        <f t="shared" si="24"/>
        <v>0.33</v>
      </c>
      <c r="O75" s="98">
        <f t="shared" si="24"/>
        <v>0.66</v>
      </c>
      <c r="P75" s="98">
        <f t="shared" si="24"/>
        <v>1</v>
      </c>
      <c r="Q75" s="98">
        <f t="shared" si="24"/>
        <v>1</v>
      </c>
      <c r="R75" s="98">
        <f t="shared" si="24"/>
        <v>1</v>
      </c>
      <c r="S75" s="98">
        <f t="shared" si="24"/>
        <v>1</v>
      </c>
      <c r="T75" s="98">
        <f t="shared" si="24"/>
        <v>1</v>
      </c>
      <c r="U75" s="99">
        <f t="shared" si="24"/>
        <v>1</v>
      </c>
      <c r="V75" s="11"/>
    </row>
    <row r="76" spans="2:22" ht="15.75" hidden="1">
      <c r="B76" s="11"/>
      <c r="C76" s="19"/>
      <c r="D76" s="11">
        <f t="shared" si="27"/>
        <v>6</v>
      </c>
      <c r="E76" s="97">
        <f t="shared" si="25"/>
        <v>0</v>
      </c>
      <c r="F76" s="98">
        <f t="shared" si="26"/>
        <v>0</v>
      </c>
      <c r="G76" s="98">
        <f t="shared" si="24"/>
        <v>0</v>
      </c>
      <c r="H76" s="98">
        <f t="shared" si="24"/>
        <v>0</v>
      </c>
      <c r="I76" s="98">
        <f t="shared" si="24"/>
        <v>0</v>
      </c>
      <c r="J76" s="98">
        <f t="shared" si="24"/>
        <v>0</v>
      </c>
      <c r="K76" s="98">
        <f t="shared" si="24"/>
        <v>0</v>
      </c>
      <c r="L76" s="98">
        <f t="shared" si="24"/>
        <v>0</v>
      </c>
      <c r="M76" s="98">
        <f t="shared" si="24"/>
        <v>0</v>
      </c>
      <c r="N76" s="98">
        <f t="shared" si="24"/>
        <v>0</v>
      </c>
      <c r="O76" s="98">
        <f t="shared" si="24"/>
        <v>0.33</v>
      </c>
      <c r="P76" s="98">
        <f t="shared" si="24"/>
        <v>0.66</v>
      </c>
      <c r="Q76" s="98">
        <f t="shared" si="24"/>
        <v>1</v>
      </c>
      <c r="R76" s="98">
        <f t="shared" si="24"/>
        <v>1</v>
      </c>
      <c r="S76" s="98">
        <f t="shared" si="24"/>
        <v>1</v>
      </c>
      <c r="T76" s="98">
        <f t="shared" si="24"/>
        <v>1</v>
      </c>
      <c r="U76" s="99">
        <f t="shared" si="24"/>
        <v>1</v>
      </c>
      <c r="V76" s="11"/>
    </row>
    <row r="77" spans="2:22" ht="15.75" hidden="1">
      <c r="B77" s="11"/>
      <c r="C77" s="19"/>
      <c r="D77" s="11">
        <f t="shared" si="27"/>
        <v>7</v>
      </c>
      <c r="E77" s="97">
        <f t="shared" si="25"/>
        <v>0</v>
      </c>
      <c r="F77" s="98">
        <f t="shared" si="26"/>
        <v>0</v>
      </c>
      <c r="G77" s="98">
        <f t="shared" si="24"/>
        <v>0</v>
      </c>
      <c r="H77" s="98">
        <f t="shared" si="24"/>
        <v>0</v>
      </c>
      <c r="I77" s="98">
        <f t="shared" si="24"/>
        <v>0</v>
      </c>
      <c r="J77" s="98">
        <f t="shared" si="24"/>
        <v>0</v>
      </c>
      <c r="K77" s="98">
        <f t="shared" si="24"/>
        <v>0</v>
      </c>
      <c r="L77" s="98">
        <f t="shared" si="24"/>
        <v>0</v>
      </c>
      <c r="M77" s="98">
        <f t="shared" si="24"/>
        <v>0</v>
      </c>
      <c r="N77" s="98">
        <f t="shared" si="24"/>
        <v>0</v>
      </c>
      <c r="O77" s="98">
        <f t="shared" si="24"/>
        <v>0</v>
      </c>
      <c r="P77" s="98">
        <f t="shared" si="24"/>
        <v>0.33</v>
      </c>
      <c r="Q77" s="98">
        <f t="shared" si="24"/>
        <v>0.66</v>
      </c>
      <c r="R77" s="98">
        <f t="shared" si="24"/>
        <v>1</v>
      </c>
      <c r="S77" s="98">
        <f t="shared" si="24"/>
        <v>1</v>
      </c>
      <c r="T77" s="98">
        <f t="shared" si="24"/>
        <v>1</v>
      </c>
      <c r="U77" s="99">
        <f t="shared" si="24"/>
        <v>1</v>
      </c>
      <c r="V77" s="11"/>
    </row>
    <row r="78" spans="2:22" ht="15.75" hidden="1">
      <c r="B78" s="11"/>
      <c r="C78" s="19"/>
      <c r="D78" s="11">
        <f t="shared" si="27"/>
        <v>8</v>
      </c>
      <c r="E78" s="97">
        <f t="shared" si="25"/>
        <v>0</v>
      </c>
      <c r="F78" s="98">
        <f t="shared" si="26"/>
        <v>0</v>
      </c>
      <c r="G78" s="98">
        <f t="shared" si="24"/>
        <v>0</v>
      </c>
      <c r="H78" s="98">
        <f t="shared" si="24"/>
        <v>0</v>
      </c>
      <c r="I78" s="98">
        <f t="shared" si="24"/>
        <v>0</v>
      </c>
      <c r="J78" s="98">
        <f t="shared" si="24"/>
        <v>0</v>
      </c>
      <c r="K78" s="98">
        <f t="shared" si="24"/>
        <v>0</v>
      </c>
      <c r="L78" s="98">
        <f t="shared" si="24"/>
        <v>0</v>
      </c>
      <c r="M78" s="98">
        <f t="shared" si="24"/>
        <v>0</v>
      </c>
      <c r="N78" s="98">
        <f t="shared" si="24"/>
        <v>0</v>
      </c>
      <c r="O78" s="98">
        <f t="shared" si="24"/>
        <v>0</v>
      </c>
      <c r="P78" s="98">
        <f t="shared" si="24"/>
        <v>0</v>
      </c>
      <c r="Q78" s="98">
        <f t="shared" si="24"/>
        <v>0.33</v>
      </c>
      <c r="R78" s="98">
        <f t="shared" si="24"/>
        <v>0.66</v>
      </c>
      <c r="S78" s="98">
        <f t="shared" si="24"/>
        <v>1</v>
      </c>
      <c r="T78" s="98">
        <f t="shared" si="24"/>
        <v>1</v>
      </c>
      <c r="U78" s="99">
        <f t="shared" si="24"/>
        <v>1</v>
      </c>
      <c r="V78" s="11"/>
    </row>
    <row r="79" spans="2:22" ht="15.75" hidden="1">
      <c r="B79" s="11"/>
      <c r="C79" s="19"/>
      <c r="D79" s="11">
        <f t="shared" si="27"/>
        <v>9</v>
      </c>
      <c r="E79" s="97">
        <f t="shared" si="25"/>
        <v>0</v>
      </c>
      <c r="F79" s="98">
        <f t="shared" si="26"/>
        <v>0</v>
      </c>
      <c r="G79" s="98">
        <f t="shared" si="24"/>
        <v>0</v>
      </c>
      <c r="H79" s="98">
        <f t="shared" si="24"/>
        <v>0</v>
      </c>
      <c r="I79" s="98">
        <f t="shared" si="24"/>
        <v>0</v>
      </c>
      <c r="J79" s="98">
        <f t="shared" si="24"/>
        <v>0</v>
      </c>
      <c r="K79" s="98">
        <f t="shared" si="24"/>
        <v>0</v>
      </c>
      <c r="L79" s="98">
        <f t="shared" si="24"/>
        <v>0</v>
      </c>
      <c r="M79" s="98">
        <f t="shared" si="24"/>
        <v>0</v>
      </c>
      <c r="N79" s="98">
        <f t="shared" si="24"/>
        <v>0</v>
      </c>
      <c r="O79" s="98">
        <f t="shared" si="24"/>
        <v>0</v>
      </c>
      <c r="P79" s="98">
        <f t="shared" si="24"/>
        <v>0</v>
      </c>
      <c r="Q79" s="98">
        <f t="shared" si="24"/>
        <v>0</v>
      </c>
      <c r="R79" s="98">
        <f t="shared" si="24"/>
        <v>0.33</v>
      </c>
      <c r="S79" s="98">
        <f t="shared" si="24"/>
        <v>0.66</v>
      </c>
      <c r="T79" s="98">
        <f t="shared" si="24"/>
        <v>1</v>
      </c>
      <c r="U79" s="99">
        <f t="shared" si="24"/>
        <v>1</v>
      </c>
      <c r="V79" s="11"/>
    </row>
    <row r="80" spans="2:22" ht="15.75" hidden="1">
      <c r="B80" s="11"/>
      <c r="C80" s="19"/>
      <c r="D80" s="11">
        <f t="shared" si="27"/>
        <v>10</v>
      </c>
      <c r="E80" s="97">
        <f t="shared" si="25"/>
        <v>0</v>
      </c>
      <c r="F80" s="98">
        <f t="shared" si="26"/>
        <v>0</v>
      </c>
      <c r="G80" s="98">
        <f t="shared" si="24"/>
        <v>0</v>
      </c>
      <c r="H80" s="98">
        <f t="shared" si="24"/>
        <v>0</v>
      </c>
      <c r="I80" s="98">
        <f t="shared" si="24"/>
        <v>0</v>
      </c>
      <c r="J80" s="98">
        <f t="shared" si="24"/>
        <v>0</v>
      </c>
      <c r="K80" s="98">
        <f t="shared" si="24"/>
        <v>0</v>
      </c>
      <c r="L80" s="98">
        <f t="shared" si="24"/>
        <v>0</v>
      </c>
      <c r="M80" s="98">
        <f t="shared" si="24"/>
        <v>0</v>
      </c>
      <c r="N80" s="98">
        <f t="shared" si="24"/>
        <v>0</v>
      </c>
      <c r="O80" s="98">
        <f t="shared" si="24"/>
        <v>0</v>
      </c>
      <c r="P80" s="98">
        <f t="shared" si="24"/>
        <v>0</v>
      </c>
      <c r="Q80" s="98">
        <f t="shared" si="24"/>
        <v>0</v>
      </c>
      <c r="R80" s="98">
        <f t="shared" si="24"/>
        <v>0</v>
      </c>
      <c r="S80" s="98">
        <f t="shared" si="24"/>
        <v>0.33</v>
      </c>
      <c r="T80" s="98">
        <f t="shared" si="24"/>
        <v>0.66</v>
      </c>
      <c r="U80" s="99">
        <f t="shared" si="24"/>
        <v>1</v>
      </c>
      <c r="V80" s="11"/>
    </row>
    <row r="81" spans="2:22" ht="15.75" hidden="1">
      <c r="B81" s="11"/>
      <c r="C81" s="19"/>
      <c r="D81" s="11">
        <f t="shared" si="27"/>
        <v>11</v>
      </c>
      <c r="E81" s="97">
        <f t="shared" si="25"/>
        <v>0</v>
      </c>
      <c r="F81" s="98">
        <f t="shared" si="26"/>
        <v>0</v>
      </c>
      <c r="G81" s="98">
        <f t="shared" si="24"/>
        <v>0</v>
      </c>
      <c r="H81" s="98">
        <f t="shared" si="24"/>
        <v>0</v>
      </c>
      <c r="I81" s="98">
        <f t="shared" si="24"/>
        <v>0</v>
      </c>
      <c r="J81" s="98">
        <f t="shared" si="24"/>
        <v>0</v>
      </c>
      <c r="K81" s="98">
        <f t="shared" si="24"/>
        <v>0</v>
      </c>
      <c r="L81" s="98">
        <f t="shared" si="24"/>
        <v>0</v>
      </c>
      <c r="M81" s="98">
        <f t="shared" si="24"/>
        <v>0</v>
      </c>
      <c r="N81" s="98">
        <f t="shared" si="24"/>
        <v>0</v>
      </c>
      <c r="O81" s="98">
        <f t="shared" si="24"/>
        <v>0</v>
      </c>
      <c r="P81" s="98">
        <f t="shared" si="24"/>
        <v>0</v>
      </c>
      <c r="Q81" s="98">
        <f t="shared" si="24"/>
        <v>0</v>
      </c>
      <c r="R81" s="98">
        <f t="shared" si="24"/>
        <v>0</v>
      </c>
      <c r="S81" s="98">
        <f t="shared" si="24"/>
        <v>0</v>
      </c>
      <c r="T81" s="98">
        <f t="shared" si="24"/>
        <v>0.33</v>
      </c>
      <c r="U81" s="99">
        <f t="shared" si="24"/>
        <v>0.66</v>
      </c>
      <c r="V81" s="11"/>
    </row>
    <row r="82" spans="2:22" ht="15.75" hidden="1">
      <c r="B82" s="11"/>
      <c r="C82" s="19"/>
      <c r="D82" s="11">
        <f t="shared" si="27"/>
        <v>12</v>
      </c>
      <c r="E82" s="97">
        <f t="shared" si="25"/>
        <v>0</v>
      </c>
      <c r="F82" s="98">
        <f t="shared" si="26"/>
        <v>0</v>
      </c>
      <c r="G82" s="98">
        <f t="shared" si="24"/>
        <v>0</v>
      </c>
      <c r="H82" s="98">
        <f t="shared" si="24"/>
        <v>0</v>
      </c>
      <c r="I82" s="98">
        <f t="shared" si="24"/>
        <v>0</v>
      </c>
      <c r="J82" s="98">
        <f t="shared" si="24"/>
        <v>0</v>
      </c>
      <c r="K82" s="98">
        <f t="shared" si="24"/>
        <v>0</v>
      </c>
      <c r="L82" s="98">
        <f t="shared" si="24"/>
        <v>0</v>
      </c>
      <c r="M82" s="98">
        <f t="shared" si="24"/>
        <v>0</v>
      </c>
      <c r="N82" s="98">
        <f t="shared" si="24"/>
        <v>0</v>
      </c>
      <c r="O82" s="98">
        <f t="shared" si="24"/>
        <v>0</v>
      </c>
      <c r="P82" s="98">
        <f t="shared" si="24"/>
        <v>0</v>
      </c>
      <c r="Q82" s="98">
        <f t="shared" si="24"/>
        <v>0</v>
      </c>
      <c r="R82" s="98">
        <f t="shared" si="24"/>
        <v>0</v>
      </c>
      <c r="S82" s="98">
        <f t="shared" si="24"/>
        <v>0</v>
      </c>
      <c r="T82" s="98">
        <f t="shared" si="24"/>
        <v>0</v>
      </c>
      <c r="U82" s="99">
        <f t="shared" si="24"/>
        <v>0.33</v>
      </c>
      <c r="V82" s="11"/>
    </row>
    <row r="83" spans="2:22">
      <c r="B83" s="11"/>
      <c r="C83" s="19">
        <f>MAX(C$8:$C82)+1</f>
        <v>28</v>
      </c>
      <c r="D83" s="44" t="s">
        <v>62</v>
      </c>
      <c r="E83" s="23"/>
      <c r="F83" s="64">
        <f>SUMPRODUCT($E$67:$E$82,F$67:F$82)</f>
        <v>0.33</v>
      </c>
      <c r="G83" s="64">
        <f t="shared" ref="G83:U83" si="28">SUMPRODUCT($E$67:$E$82,G$67:G$82)</f>
        <v>0.99</v>
      </c>
      <c r="H83" s="64">
        <f t="shared" si="28"/>
        <v>1.6600000000000001</v>
      </c>
      <c r="I83" s="64">
        <f t="shared" si="28"/>
        <v>2.33</v>
      </c>
      <c r="J83" s="64">
        <f t="shared" si="28"/>
        <v>2.66</v>
      </c>
      <c r="K83" s="64">
        <f t="shared" si="28"/>
        <v>3</v>
      </c>
      <c r="L83" s="64">
        <f t="shared" si="28"/>
        <v>3</v>
      </c>
      <c r="M83" s="64">
        <f t="shared" si="28"/>
        <v>3</v>
      </c>
      <c r="N83" s="64">
        <f t="shared" si="28"/>
        <v>3</v>
      </c>
      <c r="O83" s="64">
        <f t="shared" si="28"/>
        <v>3</v>
      </c>
      <c r="P83" s="64">
        <f t="shared" si="28"/>
        <v>3</v>
      </c>
      <c r="Q83" s="64">
        <f t="shared" si="28"/>
        <v>3</v>
      </c>
      <c r="R83" s="64">
        <f t="shared" si="28"/>
        <v>3</v>
      </c>
      <c r="S83" s="64">
        <f t="shared" si="28"/>
        <v>3</v>
      </c>
      <c r="T83" s="64">
        <f t="shared" si="28"/>
        <v>3</v>
      </c>
      <c r="U83" s="100">
        <f t="shared" si="28"/>
        <v>3</v>
      </c>
      <c r="V83" s="11"/>
    </row>
    <row r="84" spans="2:22">
      <c r="B84" s="11"/>
      <c r="C84" s="19">
        <f>MAX(C$8:$C83)+1</f>
        <v>29</v>
      </c>
      <c r="D84" s="44" t="s">
        <v>45</v>
      </c>
      <c r="E84" s="23"/>
      <c r="F84" s="64">
        <f>$E$9+F83</f>
        <v>12.33</v>
      </c>
      <c r="G84" s="64">
        <f t="shared" ref="G84:U84" si="29">$E$9+G83</f>
        <v>12.99</v>
      </c>
      <c r="H84" s="64">
        <f t="shared" si="29"/>
        <v>13.66</v>
      </c>
      <c r="I84" s="64">
        <f t="shared" si="29"/>
        <v>14.33</v>
      </c>
      <c r="J84" s="64">
        <f t="shared" si="29"/>
        <v>14.66</v>
      </c>
      <c r="K84" s="64">
        <f t="shared" si="29"/>
        <v>15</v>
      </c>
      <c r="L84" s="64">
        <f t="shared" si="29"/>
        <v>15</v>
      </c>
      <c r="M84" s="64">
        <f t="shared" si="29"/>
        <v>15</v>
      </c>
      <c r="N84" s="64">
        <f t="shared" si="29"/>
        <v>15</v>
      </c>
      <c r="O84" s="64">
        <f t="shared" si="29"/>
        <v>15</v>
      </c>
      <c r="P84" s="64">
        <f t="shared" si="29"/>
        <v>15</v>
      </c>
      <c r="Q84" s="64">
        <f t="shared" si="29"/>
        <v>15</v>
      </c>
      <c r="R84" s="64">
        <f t="shared" si="29"/>
        <v>15</v>
      </c>
      <c r="S84" s="64">
        <f t="shared" si="29"/>
        <v>15</v>
      </c>
      <c r="T84" s="64">
        <f t="shared" si="29"/>
        <v>15</v>
      </c>
      <c r="U84" s="100">
        <f t="shared" si="29"/>
        <v>15</v>
      </c>
      <c r="V84" s="11"/>
    </row>
    <row r="85" spans="2:22">
      <c r="B85" s="35"/>
      <c r="C85" s="19">
        <f>MAX(C$8:$C84)+1</f>
        <v>30</v>
      </c>
      <c r="D85" s="44" t="s">
        <v>42</v>
      </c>
      <c r="E85" s="73">
        <f t="shared" ref="E85" si="30">SUM(F85:U85)</f>
        <v>251141.66</v>
      </c>
      <c r="F85" s="74">
        <f>F84*$T$8*F20</f>
        <v>13291.74</v>
      </c>
      <c r="G85" s="74">
        <f>G84*$T$8*G20</f>
        <v>14003.220000000001</v>
      </c>
      <c r="H85" s="74">
        <f>H84*$T$8*H20</f>
        <v>14725.48</v>
      </c>
      <c r="I85" s="74">
        <f>I84*$T$8*I20</f>
        <v>15447.740000000002</v>
      </c>
      <c r="J85" s="74">
        <f>J84*$T$8*J20</f>
        <v>15803.48</v>
      </c>
      <c r="K85" s="74">
        <f>K84*$T$8*K20</f>
        <v>16170</v>
      </c>
      <c r="L85" s="74">
        <f>L84*$T$8*L20</f>
        <v>16170</v>
      </c>
      <c r="M85" s="74">
        <f>M84*$T$8*M20</f>
        <v>16170</v>
      </c>
      <c r="N85" s="74">
        <f>N84*$T$8*N20</f>
        <v>16170</v>
      </c>
      <c r="O85" s="74">
        <f>O84*$T$8*O20</f>
        <v>16170</v>
      </c>
      <c r="P85" s="74">
        <f>P84*$T$8*P20</f>
        <v>16170</v>
      </c>
      <c r="Q85" s="74">
        <f>Q84*$T$8*Q20</f>
        <v>16170</v>
      </c>
      <c r="R85" s="74">
        <f>R84*$T$8*R20</f>
        <v>16170</v>
      </c>
      <c r="S85" s="74">
        <f>S84*$T$8*S20</f>
        <v>16170</v>
      </c>
      <c r="T85" s="74">
        <f>T84*$T$8*T20</f>
        <v>16170</v>
      </c>
      <c r="U85" s="102">
        <f>U84*$T$8*U20</f>
        <v>16170</v>
      </c>
      <c r="V85" s="11"/>
    </row>
    <row r="86" spans="2:22" ht="6" customHeight="1">
      <c r="B86" s="11"/>
      <c r="C86" s="28"/>
      <c r="D86" s="48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1"/>
    </row>
    <row r="87" spans="2:22">
      <c r="B87" s="11"/>
      <c r="C87" s="19">
        <f>MAX(C$8:$C86)+1</f>
        <v>31</v>
      </c>
      <c r="D87" s="58" t="s">
        <v>89</v>
      </c>
      <c r="E87" s="23">
        <f>SUM(F87:U87)</f>
        <v>2</v>
      </c>
      <c r="F87" s="52">
        <v>2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60">
        <v>0</v>
      </c>
      <c r="V87" s="11"/>
    </row>
    <row r="88" spans="2:22" ht="15.75" hidden="1">
      <c r="B88" s="11"/>
      <c r="C88" s="19"/>
      <c r="D88" s="11">
        <v>-3</v>
      </c>
      <c r="E88" s="97">
        <f>INDEX($F$87:$U$87,1,D88+4)</f>
        <v>2</v>
      </c>
      <c r="F88" s="98">
        <f>IF(F$34-5&gt;$D88,100%,IF($D88&gt;F$34,0%,HLOOKUP(F$34-$D88+1,$E$25:$J$28,4,FALSE)))</f>
        <v>0.5</v>
      </c>
      <c r="G88" s="98">
        <f t="shared" ref="G88:U103" si="31">IF(G$34-5&gt;$D88,100%,IF($D88&gt;G$34,0%,HLOOKUP(G$34-$D88+1,$E$25:$J$28,4,FALSE)))</f>
        <v>1</v>
      </c>
      <c r="H88" s="98">
        <f t="shared" si="31"/>
        <v>1</v>
      </c>
      <c r="I88" s="98">
        <f t="shared" si="31"/>
        <v>1</v>
      </c>
      <c r="J88" s="98">
        <f t="shared" si="31"/>
        <v>1</v>
      </c>
      <c r="K88" s="98">
        <f t="shared" si="31"/>
        <v>1</v>
      </c>
      <c r="L88" s="98">
        <f t="shared" si="31"/>
        <v>1</v>
      </c>
      <c r="M88" s="98">
        <f t="shared" si="31"/>
        <v>1</v>
      </c>
      <c r="N88" s="98">
        <f t="shared" si="31"/>
        <v>1</v>
      </c>
      <c r="O88" s="98">
        <f t="shared" si="31"/>
        <v>1</v>
      </c>
      <c r="P88" s="98">
        <f t="shared" si="31"/>
        <v>1</v>
      </c>
      <c r="Q88" s="98">
        <f t="shared" si="31"/>
        <v>1</v>
      </c>
      <c r="R88" s="98">
        <f t="shared" si="31"/>
        <v>1</v>
      </c>
      <c r="S88" s="98">
        <f t="shared" si="31"/>
        <v>1</v>
      </c>
      <c r="T88" s="98">
        <f t="shared" si="31"/>
        <v>1</v>
      </c>
      <c r="U88" s="99">
        <f t="shared" si="31"/>
        <v>1</v>
      </c>
      <c r="V88" s="11"/>
    </row>
    <row r="89" spans="2:22" ht="15.75" hidden="1">
      <c r="B89" s="11"/>
      <c r="C89" s="19"/>
      <c r="D89" s="11">
        <f>D88+1</f>
        <v>-2</v>
      </c>
      <c r="E89" s="97">
        <f t="shared" ref="E89:E103" si="32">INDEX($F$87:$U$87,1,D89+4)</f>
        <v>0</v>
      </c>
      <c r="F89" s="98">
        <f t="shared" ref="F89:F103" si="33">IF(F$34-5&gt;$D89,100%,IF($D89&gt;F$34,0%,HLOOKUP(F$34-$D89+1,$E$25:$J$28,4,FALSE)))</f>
        <v>0</v>
      </c>
      <c r="G89" s="98">
        <f t="shared" si="31"/>
        <v>0.5</v>
      </c>
      <c r="H89" s="98">
        <f t="shared" si="31"/>
        <v>1</v>
      </c>
      <c r="I89" s="98">
        <f t="shared" si="31"/>
        <v>1</v>
      </c>
      <c r="J89" s="98">
        <f t="shared" si="31"/>
        <v>1</v>
      </c>
      <c r="K89" s="98">
        <f t="shared" si="31"/>
        <v>1</v>
      </c>
      <c r="L89" s="98">
        <f t="shared" si="31"/>
        <v>1</v>
      </c>
      <c r="M89" s="98">
        <f t="shared" si="31"/>
        <v>1</v>
      </c>
      <c r="N89" s="98">
        <f t="shared" si="31"/>
        <v>1</v>
      </c>
      <c r="O89" s="98">
        <f t="shared" si="31"/>
        <v>1</v>
      </c>
      <c r="P89" s="98">
        <f t="shared" si="31"/>
        <v>1</v>
      </c>
      <c r="Q89" s="98">
        <f t="shared" si="31"/>
        <v>1</v>
      </c>
      <c r="R89" s="98">
        <f t="shared" si="31"/>
        <v>1</v>
      </c>
      <c r="S89" s="98">
        <f t="shared" si="31"/>
        <v>1</v>
      </c>
      <c r="T89" s="98">
        <f t="shared" si="31"/>
        <v>1</v>
      </c>
      <c r="U89" s="99">
        <f t="shared" si="31"/>
        <v>1</v>
      </c>
      <c r="V89" s="11"/>
    </row>
    <row r="90" spans="2:22" ht="15.75" hidden="1">
      <c r="B90" s="11"/>
      <c r="C90" s="19"/>
      <c r="D90" s="11">
        <f t="shared" ref="D90:D103" si="34">D89+1</f>
        <v>-1</v>
      </c>
      <c r="E90" s="97">
        <f t="shared" si="32"/>
        <v>0</v>
      </c>
      <c r="F90" s="98">
        <f t="shared" si="33"/>
        <v>0</v>
      </c>
      <c r="G90" s="98">
        <f t="shared" si="31"/>
        <v>0</v>
      </c>
      <c r="H90" s="98">
        <f t="shared" si="31"/>
        <v>0.5</v>
      </c>
      <c r="I90" s="98">
        <f t="shared" si="31"/>
        <v>1</v>
      </c>
      <c r="J90" s="98">
        <f t="shared" si="31"/>
        <v>1</v>
      </c>
      <c r="K90" s="98">
        <f t="shared" si="31"/>
        <v>1</v>
      </c>
      <c r="L90" s="98">
        <f t="shared" si="31"/>
        <v>1</v>
      </c>
      <c r="M90" s="98">
        <f t="shared" si="31"/>
        <v>1</v>
      </c>
      <c r="N90" s="98">
        <f t="shared" si="31"/>
        <v>1</v>
      </c>
      <c r="O90" s="98">
        <f t="shared" si="31"/>
        <v>1</v>
      </c>
      <c r="P90" s="98">
        <f t="shared" si="31"/>
        <v>1</v>
      </c>
      <c r="Q90" s="98">
        <f t="shared" si="31"/>
        <v>1</v>
      </c>
      <c r="R90" s="98">
        <f t="shared" si="31"/>
        <v>1</v>
      </c>
      <c r="S90" s="98">
        <f t="shared" si="31"/>
        <v>1</v>
      </c>
      <c r="T90" s="98">
        <f t="shared" si="31"/>
        <v>1</v>
      </c>
      <c r="U90" s="99">
        <f t="shared" si="31"/>
        <v>1</v>
      </c>
      <c r="V90" s="11"/>
    </row>
    <row r="91" spans="2:22" ht="15.75" hidden="1">
      <c r="B91" s="11"/>
      <c r="C91" s="19"/>
      <c r="D91" s="11">
        <f t="shared" si="34"/>
        <v>0</v>
      </c>
      <c r="E91" s="97">
        <f t="shared" si="32"/>
        <v>0</v>
      </c>
      <c r="F91" s="98">
        <f t="shared" si="33"/>
        <v>0</v>
      </c>
      <c r="G91" s="98">
        <f t="shared" si="31"/>
        <v>0</v>
      </c>
      <c r="H91" s="98">
        <f t="shared" si="31"/>
        <v>0</v>
      </c>
      <c r="I91" s="98">
        <f t="shared" si="31"/>
        <v>0.5</v>
      </c>
      <c r="J91" s="98">
        <f t="shared" si="31"/>
        <v>1</v>
      </c>
      <c r="K91" s="98">
        <f t="shared" si="31"/>
        <v>1</v>
      </c>
      <c r="L91" s="98">
        <f t="shared" si="31"/>
        <v>1</v>
      </c>
      <c r="M91" s="98">
        <f t="shared" si="31"/>
        <v>1</v>
      </c>
      <c r="N91" s="98">
        <f t="shared" si="31"/>
        <v>1</v>
      </c>
      <c r="O91" s="98">
        <f t="shared" si="31"/>
        <v>1</v>
      </c>
      <c r="P91" s="98">
        <f t="shared" si="31"/>
        <v>1</v>
      </c>
      <c r="Q91" s="98">
        <f t="shared" si="31"/>
        <v>1</v>
      </c>
      <c r="R91" s="98">
        <f t="shared" si="31"/>
        <v>1</v>
      </c>
      <c r="S91" s="98">
        <f t="shared" si="31"/>
        <v>1</v>
      </c>
      <c r="T91" s="98">
        <f t="shared" si="31"/>
        <v>1</v>
      </c>
      <c r="U91" s="99">
        <f t="shared" si="31"/>
        <v>1</v>
      </c>
      <c r="V91" s="11"/>
    </row>
    <row r="92" spans="2:22" ht="15.75" hidden="1">
      <c r="B92" s="11"/>
      <c r="C92" s="19"/>
      <c r="D92" s="11">
        <f t="shared" si="34"/>
        <v>1</v>
      </c>
      <c r="E92" s="97">
        <f t="shared" si="32"/>
        <v>0</v>
      </c>
      <c r="F92" s="98">
        <f t="shared" si="33"/>
        <v>0</v>
      </c>
      <c r="G92" s="98">
        <f t="shared" si="31"/>
        <v>0</v>
      </c>
      <c r="H92" s="98">
        <f t="shared" si="31"/>
        <v>0</v>
      </c>
      <c r="I92" s="98">
        <f t="shared" si="31"/>
        <v>0</v>
      </c>
      <c r="J92" s="98">
        <f t="shared" si="31"/>
        <v>0.5</v>
      </c>
      <c r="K92" s="98">
        <f t="shared" si="31"/>
        <v>1</v>
      </c>
      <c r="L92" s="98">
        <f t="shared" si="31"/>
        <v>1</v>
      </c>
      <c r="M92" s="98">
        <f t="shared" si="31"/>
        <v>1</v>
      </c>
      <c r="N92" s="98">
        <f t="shared" si="31"/>
        <v>1</v>
      </c>
      <c r="O92" s="98">
        <f t="shared" si="31"/>
        <v>1</v>
      </c>
      <c r="P92" s="98">
        <f t="shared" si="31"/>
        <v>1</v>
      </c>
      <c r="Q92" s="98">
        <f t="shared" si="31"/>
        <v>1</v>
      </c>
      <c r="R92" s="98">
        <f t="shared" si="31"/>
        <v>1</v>
      </c>
      <c r="S92" s="98">
        <f t="shared" si="31"/>
        <v>1</v>
      </c>
      <c r="T92" s="98">
        <f t="shared" si="31"/>
        <v>1</v>
      </c>
      <c r="U92" s="99">
        <f t="shared" si="31"/>
        <v>1</v>
      </c>
      <c r="V92" s="11"/>
    </row>
    <row r="93" spans="2:22" ht="15.75" hidden="1">
      <c r="B93" s="11"/>
      <c r="C93" s="19"/>
      <c r="D93" s="11">
        <f t="shared" si="34"/>
        <v>2</v>
      </c>
      <c r="E93" s="97">
        <f t="shared" si="32"/>
        <v>0</v>
      </c>
      <c r="F93" s="98">
        <f t="shared" si="33"/>
        <v>0</v>
      </c>
      <c r="G93" s="98">
        <f t="shared" si="31"/>
        <v>0</v>
      </c>
      <c r="H93" s="98">
        <f t="shared" si="31"/>
        <v>0</v>
      </c>
      <c r="I93" s="98">
        <f t="shared" si="31"/>
        <v>0</v>
      </c>
      <c r="J93" s="98">
        <f t="shared" si="31"/>
        <v>0</v>
      </c>
      <c r="K93" s="98">
        <f t="shared" si="31"/>
        <v>0.5</v>
      </c>
      <c r="L93" s="98">
        <f t="shared" si="31"/>
        <v>1</v>
      </c>
      <c r="M93" s="98">
        <f t="shared" si="31"/>
        <v>1</v>
      </c>
      <c r="N93" s="98">
        <f t="shared" si="31"/>
        <v>1</v>
      </c>
      <c r="O93" s="98">
        <f t="shared" si="31"/>
        <v>1</v>
      </c>
      <c r="P93" s="98">
        <f t="shared" si="31"/>
        <v>1</v>
      </c>
      <c r="Q93" s="98">
        <f t="shared" si="31"/>
        <v>1</v>
      </c>
      <c r="R93" s="98">
        <f t="shared" si="31"/>
        <v>1</v>
      </c>
      <c r="S93" s="98">
        <f t="shared" si="31"/>
        <v>1</v>
      </c>
      <c r="T93" s="98">
        <f t="shared" si="31"/>
        <v>1</v>
      </c>
      <c r="U93" s="99">
        <f t="shared" si="31"/>
        <v>1</v>
      </c>
      <c r="V93" s="11"/>
    </row>
    <row r="94" spans="2:22" ht="15.75" hidden="1">
      <c r="B94" s="11"/>
      <c r="C94" s="19"/>
      <c r="D94" s="11">
        <f t="shared" si="34"/>
        <v>3</v>
      </c>
      <c r="E94" s="97">
        <f t="shared" si="32"/>
        <v>0</v>
      </c>
      <c r="F94" s="98">
        <f t="shared" si="33"/>
        <v>0</v>
      </c>
      <c r="G94" s="98">
        <f t="shared" si="31"/>
        <v>0</v>
      </c>
      <c r="H94" s="98">
        <f t="shared" si="31"/>
        <v>0</v>
      </c>
      <c r="I94" s="98">
        <f t="shared" si="31"/>
        <v>0</v>
      </c>
      <c r="J94" s="98">
        <f t="shared" si="31"/>
        <v>0</v>
      </c>
      <c r="K94" s="98">
        <f t="shared" si="31"/>
        <v>0</v>
      </c>
      <c r="L94" s="98">
        <f t="shared" si="31"/>
        <v>0.5</v>
      </c>
      <c r="M94" s="98">
        <f t="shared" si="31"/>
        <v>1</v>
      </c>
      <c r="N94" s="98">
        <f t="shared" si="31"/>
        <v>1</v>
      </c>
      <c r="O94" s="98">
        <f t="shared" si="31"/>
        <v>1</v>
      </c>
      <c r="P94" s="98">
        <f t="shared" si="31"/>
        <v>1</v>
      </c>
      <c r="Q94" s="98">
        <f t="shared" si="31"/>
        <v>1</v>
      </c>
      <c r="R94" s="98">
        <f t="shared" si="31"/>
        <v>1</v>
      </c>
      <c r="S94" s="98">
        <f t="shared" si="31"/>
        <v>1</v>
      </c>
      <c r="T94" s="98">
        <f t="shared" si="31"/>
        <v>1</v>
      </c>
      <c r="U94" s="99">
        <f t="shared" si="31"/>
        <v>1</v>
      </c>
      <c r="V94" s="11"/>
    </row>
    <row r="95" spans="2:22" ht="15.75" hidden="1">
      <c r="B95" s="11"/>
      <c r="C95" s="19"/>
      <c r="D95" s="11">
        <f t="shared" si="34"/>
        <v>4</v>
      </c>
      <c r="E95" s="97">
        <f t="shared" si="32"/>
        <v>0</v>
      </c>
      <c r="F95" s="98">
        <f t="shared" si="33"/>
        <v>0</v>
      </c>
      <c r="G95" s="98">
        <f t="shared" si="31"/>
        <v>0</v>
      </c>
      <c r="H95" s="98">
        <f t="shared" si="31"/>
        <v>0</v>
      </c>
      <c r="I95" s="98">
        <f t="shared" si="31"/>
        <v>0</v>
      </c>
      <c r="J95" s="98">
        <f t="shared" si="31"/>
        <v>0</v>
      </c>
      <c r="K95" s="98">
        <f t="shared" si="31"/>
        <v>0</v>
      </c>
      <c r="L95" s="98">
        <f t="shared" si="31"/>
        <v>0</v>
      </c>
      <c r="M95" s="98">
        <f t="shared" si="31"/>
        <v>0.5</v>
      </c>
      <c r="N95" s="98">
        <f t="shared" si="31"/>
        <v>1</v>
      </c>
      <c r="O95" s="98">
        <f t="shared" si="31"/>
        <v>1</v>
      </c>
      <c r="P95" s="98">
        <f t="shared" si="31"/>
        <v>1</v>
      </c>
      <c r="Q95" s="98">
        <f t="shared" si="31"/>
        <v>1</v>
      </c>
      <c r="R95" s="98">
        <f t="shared" si="31"/>
        <v>1</v>
      </c>
      <c r="S95" s="98">
        <f t="shared" si="31"/>
        <v>1</v>
      </c>
      <c r="T95" s="98">
        <f t="shared" si="31"/>
        <v>1</v>
      </c>
      <c r="U95" s="99">
        <f t="shared" si="31"/>
        <v>1</v>
      </c>
      <c r="V95" s="11"/>
    </row>
    <row r="96" spans="2:22" ht="15.75" hidden="1">
      <c r="B96" s="11"/>
      <c r="C96" s="19"/>
      <c r="D96" s="11">
        <f t="shared" si="34"/>
        <v>5</v>
      </c>
      <c r="E96" s="97">
        <f t="shared" si="32"/>
        <v>0</v>
      </c>
      <c r="F96" s="98">
        <f t="shared" si="33"/>
        <v>0</v>
      </c>
      <c r="G96" s="98">
        <f t="shared" si="31"/>
        <v>0</v>
      </c>
      <c r="H96" s="98">
        <f t="shared" si="31"/>
        <v>0</v>
      </c>
      <c r="I96" s="98">
        <f t="shared" si="31"/>
        <v>0</v>
      </c>
      <c r="J96" s="98">
        <f t="shared" si="31"/>
        <v>0</v>
      </c>
      <c r="K96" s="98">
        <f t="shared" si="31"/>
        <v>0</v>
      </c>
      <c r="L96" s="98">
        <f t="shared" si="31"/>
        <v>0</v>
      </c>
      <c r="M96" s="98">
        <f t="shared" si="31"/>
        <v>0</v>
      </c>
      <c r="N96" s="98">
        <f t="shared" si="31"/>
        <v>0.5</v>
      </c>
      <c r="O96" s="98">
        <f t="shared" si="31"/>
        <v>1</v>
      </c>
      <c r="P96" s="98">
        <f t="shared" si="31"/>
        <v>1</v>
      </c>
      <c r="Q96" s="98">
        <f t="shared" si="31"/>
        <v>1</v>
      </c>
      <c r="R96" s="98">
        <f t="shared" si="31"/>
        <v>1</v>
      </c>
      <c r="S96" s="98">
        <f t="shared" si="31"/>
        <v>1</v>
      </c>
      <c r="T96" s="98">
        <f t="shared" si="31"/>
        <v>1</v>
      </c>
      <c r="U96" s="99">
        <f t="shared" si="31"/>
        <v>1</v>
      </c>
      <c r="V96" s="11"/>
    </row>
    <row r="97" spans="2:22" ht="15.75" hidden="1">
      <c r="B97" s="11"/>
      <c r="C97" s="19"/>
      <c r="D97" s="11">
        <f t="shared" si="34"/>
        <v>6</v>
      </c>
      <c r="E97" s="97">
        <f t="shared" si="32"/>
        <v>0</v>
      </c>
      <c r="F97" s="98">
        <f t="shared" si="33"/>
        <v>0</v>
      </c>
      <c r="G97" s="98">
        <f t="shared" si="31"/>
        <v>0</v>
      </c>
      <c r="H97" s="98">
        <f t="shared" si="31"/>
        <v>0</v>
      </c>
      <c r="I97" s="98">
        <f t="shared" si="31"/>
        <v>0</v>
      </c>
      <c r="J97" s="98">
        <f t="shared" si="31"/>
        <v>0</v>
      </c>
      <c r="K97" s="98">
        <f t="shared" si="31"/>
        <v>0</v>
      </c>
      <c r="L97" s="98">
        <f t="shared" si="31"/>
        <v>0</v>
      </c>
      <c r="M97" s="98">
        <f t="shared" si="31"/>
        <v>0</v>
      </c>
      <c r="N97" s="98">
        <f t="shared" si="31"/>
        <v>0</v>
      </c>
      <c r="O97" s="98">
        <f t="shared" si="31"/>
        <v>0.5</v>
      </c>
      <c r="P97" s="98">
        <f t="shared" si="31"/>
        <v>1</v>
      </c>
      <c r="Q97" s="98">
        <f t="shared" si="31"/>
        <v>1</v>
      </c>
      <c r="R97" s="98">
        <f t="shared" si="31"/>
        <v>1</v>
      </c>
      <c r="S97" s="98">
        <f t="shared" si="31"/>
        <v>1</v>
      </c>
      <c r="T97" s="98">
        <f t="shared" si="31"/>
        <v>1</v>
      </c>
      <c r="U97" s="99">
        <f t="shared" si="31"/>
        <v>1</v>
      </c>
      <c r="V97" s="11"/>
    </row>
    <row r="98" spans="2:22" ht="15.75" hidden="1">
      <c r="B98" s="11"/>
      <c r="C98" s="19"/>
      <c r="D98" s="11">
        <f t="shared" si="34"/>
        <v>7</v>
      </c>
      <c r="E98" s="97">
        <f t="shared" si="32"/>
        <v>0</v>
      </c>
      <c r="F98" s="98">
        <f t="shared" si="33"/>
        <v>0</v>
      </c>
      <c r="G98" s="98">
        <f t="shared" si="31"/>
        <v>0</v>
      </c>
      <c r="H98" s="98">
        <f t="shared" si="31"/>
        <v>0</v>
      </c>
      <c r="I98" s="98">
        <f t="shared" si="31"/>
        <v>0</v>
      </c>
      <c r="J98" s="98">
        <f t="shared" si="31"/>
        <v>0</v>
      </c>
      <c r="K98" s="98">
        <f t="shared" si="31"/>
        <v>0</v>
      </c>
      <c r="L98" s="98">
        <f t="shared" si="31"/>
        <v>0</v>
      </c>
      <c r="M98" s="98">
        <f t="shared" si="31"/>
        <v>0</v>
      </c>
      <c r="N98" s="98">
        <f t="shared" si="31"/>
        <v>0</v>
      </c>
      <c r="O98" s="98">
        <f t="shared" si="31"/>
        <v>0</v>
      </c>
      <c r="P98" s="98">
        <f t="shared" si="31"/>
        <v>0.5</v>
      </c>
      <c r="Q98" s="98">
        <f t="shared" si="31"/>
        <v>1</v>
      </c>
      <c r="R98" s="98">
        <f t="shared" si="31"/>
        <v>1</v>
      </c>
      <c r="S98" s="98">
        <f t="shared" si="31"/>
        <v>1</v>
      </c>
      <c r="T98" s="98">
        <f t="shared" si="31"/>
        <v>1</v>
      </c>
      <c r="U98" s="99">
        <f t="shared" si="31"/>
        <v>1</v>
      </c>
      <c r="V98" s="11"/>
    </row>
    <row r="99" spans="2:22" ht="15.75" hidden="1">
      <c r="B99" s="11"/>
      <c r="C99" s="19"/>
      <c r="D99" s="11">
        <f t="shared" si="34"/>
        <v>8</v>
      </c>
      <c r="E99" s="97">
        <f t="shared" si="32"/>
        <v>0</v>
      </c>
      <c r="F99" s="98">
        <f t="shared" si="33"/>
        <v>0</v>
      </c>
      <c r="G99" s="98">
        <f t="shared" si="31"/>
        <v>0</v>
      </c>
      <c r="H99" s="98">
        <f t="shared" si="31"/>
        <v>0</v>
      </c>
      <c r="I99" s="98">
        <f t="shared" si="31"/>
        <v>0</v>
      </c>
      <c r="J99" s="98">
        <f t="shared" si="31"/>
        <v>0</v>
      </c>
      <c r="K99" s="98">
        <f t="shared" si="31"/>
        <v>0</v>
      </c>
      <c r="L99" s="98">
        <f t="shared" si="31"/>
        <v>0</v>
      </c>
      <c r="M99" s="98">
        <f t="shared" si="31"/>
        <v>0</v>
      </c>
      <c r="N99" s="98">
        <f t="shared" si="31"/>
        <v>0</v>
      </c>
      <c r="O99" s="98">
        <f t="shared" si="31"/>
        <v>0</v>
      </c>
      <c r="P99" s="98">
        <f t="shared" si="31"/>
        <v>0</v>
      </c>
      <c r="Q99" s="98">
        <f t="shared" si="31"/>
        <v>0.5</v>
      </c>
      <c r="R99" s="98">
        <f t="shared" si="31"/>
        <v>1</v>
      </c>
      <c r="S99" s="98">
        <f t="shared" si="31"/>
        <v>1</v>
      </c>
      <c r="T99" s="98">
        <f t="shared" si="31"/>
        <v>1</v>
      </c>
      <c r="U99" s="99">
        <f t="shared" si="31"/>
        <v>1</v>
      </c>
      <c r="V99" s="11"/>
    </row>
    <row r="100" spans="2:22" ht="15.75" hidden="1">
      <c r="B100" s="11"/>
      <c r="C100" s="19"/>
      <c r="D100" s="11">
        <f t="shared" si="34"/>
        <v>9</v>
      </c>
      <c r="E100" s="97">
        <f t="shared" si="32"/>
        <v>0</v>
      </c>
      <c r="F100" s="98">
        <f t="shared" si="33"/>
        <v>0</v>
      </c>
      <c r="G100" s="98">
        <f t="shared" si="31"/>
        <v>0</v>
      </c>
      <c r="H100" s="98">
        <f t="shared" si="31"/>
        <v>0</v>
      </c>
      <c r="I100" s="98">
        <f t="shared" si="31"/>
        <v>0</v>
      </c>
      <c r="J100" s="98">
        <f t="shared" si="31"/>
        <v>0</v>
      </c>
      <c r="K100" s="98">
        <f t="shared" si="31"/>
        <v>0</v>
      </c>
      <c r="L100" s="98">
        <f t="shared" si="31"/>
        <v>0</v>
      </c>
      <c r="M100" s="98">
        <f t="shared" si="31"/>
        <v>0</v>
      </c>
      <c r="N100" s="98">
        <f t="shared" si="31"/>
        <v>0</v>
      </c>
      <c r="O100" s="98">
        <f t="shared" si="31"/>
        <v>0</v>
      </c>
      <c r="P100" s="98">
        <f t="shared" si="31"/>
        <v>0</v>
      </c>
      <c r="Q100" s="98">
        <f t="shared" si="31"/>
        <v>0</v>
      </c>
      <c r="R100" s="98">
        <f t="shared" si="31"/>
        <v>0.5</v>
      </c>
      <c r="S100" s="98">
        <f t="shared" si="31"/>
        <v>1</v>
      </c>
      <c r="T100" s="98">
        <f t="shared" si="31"/>
        <v>1</v>
      </c>
      <c r="U100" s="99">
        <f t="shared" si="31"/>
        <v>1</v>
      </c>
      <c r="V100" s="11"/>
    </row>
    <row r="101" spans="2:22" ht="15.75" hidden="1">
      <c r="B101" s="11"/>
      <c r="C101" s="19"/>
      <c r="D101" s="11">
        <f t="shared" si="34"/>
        <v>10</v>
      </c>
      <c r="E101" s="97">
        <f t="shared" si="32"/>
        <v>0</v>
      </c>
      <c r="F101" s="98">
        <f t="shared" si="33"/>
        <v>0</v>
      </c>
      <c r="G101" s="98">
        <f t="shared" si="31"/>
        <v>0</v>
      </c>
      <c r="H101" s="98">
        <f t="shared" si="31"/>
        <v>0</v>
      </c>
      <c r="I101" s="98">
        <f t="shared" si="31"/>
        <v>0</v>
      </c>
      <c r="J101" s="98">
        <f t="shared" si="31"/>
        <v>0</v>
      </c>
      <c r="K101" s="98">
        <f t="shared" si="31"/>
        <v>0</v>
      </c>
      <c r="L101" s="98">
        <f t="shared" si="31"/>
        <v>0</v>
      </c>
      <c r="M101" s="98">
        <f t="shared" si="31"/>
        <v>0</v>
      </c>
      <c r="N101" s="98">
        <f t="shared" si="31"/>
        <v>0</v>
      </c>
      <c r="O101" s="98">
        <f t="shared" si="31"/>
        <v>0</v>
      </c>
      <c r="P101" s="98">
        <f t="shared" si="31"/>
        <v>0</v>
      </c>
      <c r="Q101" s="98">
        <f t="shared" si="31"/>
        <v>0</v>
      </c>
      <c r="R101" s="98">
        <f t="shared" si="31"/>
        <v>0</v>
      </c>
      <c r="S101" s="98">
        <f t="shared" si="31"/>
        <v>0.5</v>
      </c>
      <c r="T101" s="98">
        <f t="shared" si="31"/>
        <v>1</v>
      </c>
      <c r="U101" s="99">
        <f t="shared" si="31"/>
        <v>1</v>
      </c>
      <c r="V101" s="11"/>
    </row>
    <row r="102" spans="2:22" ht="15.75" hidden="1">
      <c r="B102" s="11"/>
      <c r="C102" s="19"/>
      <c r="D102" s="11">
        <f t="shared" si="34"/>
        <v>11</v>
      </c>
      <c r="E102" s="97">
        <f t="shared" si="32"/>
        <v>0</v>
      </c>
      <c r="F102" s="98">
        <f t="shared" si="33"/>
        <v>0</v>
      </c>
      <c r="G102" s="98">
        <f t="shared" si="31"/>
        <v>0</v>
      </c>
      <c r="H102" s="98">
        <f t="shared" si="31"/>
        <v>0</v>
      </c>
      <c r="I102" s="98">
        <f t="shared" si="31"/>
        <v>0</v>
      </c>
      <c r="J102" s="98">
        <f t="shared" si="31"/>
        <v>0</v>
      </c>
      <c r="K102" s="98">
        <f t="shared" si="31"/>
        <v>0</v>
      </c>
      <c r="L102" s="98">
        <f t="shared" si="31"/>
        <v>0</v>
      </c>
      <c r="M102" s="98">
        <f t="shared" si="31"/>
        <v>0</v>
      </c>
      <c r="N102" s="98">
        <f t="shared" si="31"/>
        <v>0</v>
      </c>
      <c r="O102" s="98">
        <f t="shared" si="31"/>
        <v>0</v>
      </c>
      <c r="P102" s="98">
        <f t="shared" si="31"/>
        <v>0</v>
      </c>
      <c r="Q102" s="98">
        <f t="shared" si="31"/>
        <v>0</v>
      </c>
      <c r="R102" s="98">
        <f t="shared" si="31"/>
        <v>0</v>
      </c>
      <c r="S102" s="98">
        <f t="shared" si="31"/>
        <v>0</v>
      </c>
      <c r="T102" s="98">
        <f t="shared" si="31"/>
        <v>0.5</v>
      </c>
      <c r="U102" s="99">
        <f t="shared" si="31"/>
        <v>1</v>
      </c>
      <c r="V102" s="11"/>
    </row>
    <row r="103" spans="2:22" ht="15.75" hidden="1">
      <c r="B103" s="11"/>
      <c r="C103" s="19"/>
      <c r="D103" s="11">
        <f t="shared" si="34"/>
        <v>12</v>
      </c>
      <c r="E103" s="97">
        <f t="shared" si="32"/>
        <v>0</v>
      </c>
      <c r="F103" s="98">
        <f t="shared" si="33"/>
        <v>0</v>
      </c>
      <c r="G103" s="98">
        <f t="shared" si="31"/>
        <v>0</v>
      </c>
      <c r="H103" s="98">
        <f t="shared" si="31"/>
        <v>0</v>
      </c>
      <c r="I103" s="98">
        <f t="shared" si="31"/>
        <v>0</v>
      </c>
      <c r="J103" s="98">
        <f t="shared" si="31"/>
        <v>0</v>
      </c>
      <c r="K103" s="98">
        <f t="shared" si="31"/>
        <v>0</v>
      </c>
      <c r="L103" s="98">
        <f t="shared" si="31"/>
        <v>0</v>
      </c>
      <c r="M103" s="98">
        <f t="shared" si="31"/>
        <v>0</v>
      </c>
      <c r="N103" s="98">
        <f t="shared" si="31"/>
        <v>0</v>
      </c>
      <c r="O103" s="98">
        <f t="shared" si="31"/>
        <v>0</v>
      </c>
      <c r="P103" s="98">
        <f t="shared" si="31"/>
        <v>0</v>
      </c>
      <c r="Q103" s="98">
        <f t="shared" si="31"/>
        <v>0</v>
      </c>
      <c r="R103" s="98">
        <f t="shared" si="31"/>
        <v>0</v>
      </c>
      <c r="S103" s="98">
        <f t="shared" si="31"/>
        <v>0</v>
      </c>
      <c r="T103" s="98">
        <f t="shared" si="31"/>
        <v>0</v>
      </c>
      <c r="U103" s="99">
        <f t="shared" si="31"/>
        <v>0.5</v>
      </c>
      <c r="V103" s="11"/>
    </row>
    <row r="104" spans="2:22">
      <c r="B104" s="11"/>
      <c r="C104" s="19">
        <f>MAX(C$8:$C103)+1</f>
        <v>32</v>
      </c>
      <c r="D104" s="44" t="s">
        <v>90</v>
      </c>
      <c r="E104" s="23"/>
      <c r="F104" s="64">
        <f>SUMPRODUCT($E$88:$E$103,F$88:F$103)</f>
        <v>1</v>
      </c>
      <c r="G104" s="64">
        <f t="shared" ref="G104:U104" si="35">SUMPRODUCT($E$88:$E$103,G$88:G$103)</f>
        <v>2</v>
      </c>
      <c r="H104" s="64">
        <f t="shared" si="35"/>
        <v>2</v>
      </c>
      <c r="I104" s="64">
        <f t="shared" si="35"/>
        <v>2</v>
      </c>
      <c r="J104" s="64">
        <f t="shared" si="35"/>
        <v>2</v>
      </c>
      <c r="K104" s="64">
        <f t="shared" si="35"/>
        <v>2</v>
      </c>
      <c r="L104" s="64">
        <f t="shared" si="35"/>
        <v>2</v>
      </c>
      <c r="M104" s="64">
        <f t="shared" si="35"/>
        <v>2</v>
      </c>
      <c r="N104" s="64">
        <f t="shared" si="35"/>
        <v>2</v>
      </c>
      <c r="O104" s="64">
        <f t="shared" si="35"/>
        <v>2</v>
      </c>
      <c r="P104" s="64">
        <f t="shared" si="35"/>
        <v>2</v>
      </c>
      <c r="Q104" s="64">
        <f t="shared" si="35"/>
        <v>2</v>
      </c>
      <c r="R104" s="64">
        <f t="shared" si="35"/>
        <v>2</v>
      </c>
      <c r="S104" s="64">
        <f t="shared" si="35"/>
        <v>2</v>
      </c>
      <c r="T104" s="64">
        <f t="shared" si="35"/>
        <v>2</v>
      </c>
      <c r="U104" s="100">
        <f t="shared" si="35"/>
        <v>2</v>
      </c>
      <c r="V104" s="11"/>
    </row>
    <row r="105" spans="2:22">
      <c r="B105" s="11"/>
      <c r="C105" s="19">
        <f>MAX(C$8:$C104)+1</f>
        <v>33</v>
      </c>
      <c r="D105" s="44" t="s">
        <v>91</v>
      </c>
      <c r="E105" s="23"/>
      <c r="F105" s="64">
        <f>$E$10+F104</f>
        <v>1</v>
      </c>
      <c r="G105" s="64">
        <f t="shared" ref="G105:U105" si="36">$E$10+G104</f>
        <v>2</v>
      </c>
      <c r="H105" s="64">
        <f t="shared" si="36"/>
        <v>2</v>
      </c>
      <c r="I105" s="64">
        <f t="shared" si="36"/>
        <v>2</v>
      </c>
      <c r="J105" s="64">
        <f t="shared" si="36"/>
        <v>2</v>
      </c>
      <c r="K105" s="64">
        <f t="shared" si="36"/>
        <v>2</v>
      </c>
      <c r="L105" s="64">
        <f t="shared" si="36"/>
        <v>2</v>
      </c>
      <c r="M105" s="64">
        <f t="shared" si="36"/>
        <v>2</v>
      </c>
      <c r="N105" s="64">
        <f t="shared" si="36"/>
        <v>2</v>
      </c>
      <c r="O105" s="64">
        <f t="shared" si="36"/>
        <v>2</v>
      </c>
      <c r="P105" s="64">
        <f t="shared" si="36"/>
        <v>2</v>
      </c>
      <c r="Q105" s="64">
        <f t="shared" si="36"/>
        <v>2</v>
      </c>
      <c r="R105" s="64">
        <f t="shared" si="36"/>
        <v>2</v>
      </c>
      <c r="S105" s="64">
        <f t="shared" si="36"/>
        <v>2</v>
      </c>
      <c r="T105" s="64">
        <f t="shared" si="36"/>
        <v>2</v>
      </c>
      <c r="U105" s="100">
        <f t="shared" si="36"/>
        <v>2</v>
      </c>
      <c r="V105" s="11"/>
    </row>
    <row r="106" spans="2:22">
      <c r="B106" s="35"/>
      <c r="C106" s="49">
        <f>MAX(C$8:$C105)+1</f>
        <v>34</v>
      </c>
      <c r="D106" s="37" t="s">
        <v>92</v>
      </c>
      <c r="E106" s="39">
        <f t="shared" ref="E106" si="37">SUM(F106:U106)</f>
        <v>33418</v>
      </c>
      <c r="F106" s="40">
        <f>F105*F22*$T$8</f>
        <v>1078</v>
      </c>
      <c r="G106" s="40">
        <f>G105*G22*$T$8</f>
        <v>2156</v>
      </c>
      <c r="H106" s="40">
        <f>H105*H22*$T$8</f>
        <v>2156</v>
      </c>
      <c r="I106" s="40">
        <f>I105*I22*$T$8</f>
        <v>2156</v>
      </c>
      <c r="J106" s="40">
        <f>J105*J22*$T$8</f>
        <v>2156</v>
      </c>
      <c r="K106" s="40">
        <f>K105*K22*$T$8</f>
        <v>2156</v>
      </c>
      <c r="L106" s="40">
        <f>L105*L22*$T$8</f>
        <v>2156</v>
      </c>
      <c r="M106" s="40">
        <f>M105*M22*$T$8</f>
        <v>2156</v>
      </c>
      <c r="N106" s="40">
        <f>N105*N22*$T$8</f>
        <v>2156</v>
      </c>
      <c r="O106" s="40">
        <f>O105*O22*$T$8</f>
        <v>2156</v>
      </c>
      <c r="P106" s="40">
        <f>P105*P22*$T$8</f>
        <v>2156</v>
      </c>
      <c r="Q106" s="40">
        <f>Q105*Q22*$T$8</f>
        <v>2156</v>
      </c>
      <c r="R106" s="40">
        <f>R105*R22*$T$8</f>
        <v>2156</v>
      </c>
      <c r="S106" s="40">
        <f>S105*S22*$T$8</f>
        <v>2156</v>
      </c>
      <c r="T106" s="40">
        <f>T105*T22*$T$8</f>
        <v>2156</v>
      </c>
      <c r="U106" s="103">
        <f>U105*U22*$T$8</f>
        <v>2156</v>
      </c>
      <c r="V106" s="11"/>
    </row>
    <row r="107" spans="2:22" ht="6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2:22">
      <c r="B108" s="11"/>
      <c r="C108" s="11" t="s">
        <v>124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3" t="s">
        <v>20</v>
      </c>
      <c r="T108" s="11"/>
      <c r="U108" s="11"/>
      <c r="V108" s="11"/>
    </row>
    <row r="109" spans="2:22" s="11" customFormat="1"/>
  </sheetData>
  <mergeCells count="8">
    <mergeCell ref="F12:I12"/>
    <mergeCell ref="J12:U12"/>
    <mergeCell ref="J32:U32"/>
    <mergeCell ref="F32:I32"/>
    <mergeCell ref="N7:O7"/>
    <mergeCell ref="N8:O8"/>
    <mergeCell ref="N9:O9"/>
    <mergeCell ref="N10:O10"/>
  </mergeCells>
  <phoneticPr fontId="11" type="noConversion"/>
  <conditionalFormatting sqref="E44">
    <cfRule type="expression" dxfId="14" priority="37">
      <formula>$E$44&lt;G8</formula>
    </cfRule>
    <cfRule type="expression" dxfId="13" priority="38">
      <formula>$E$44&gt;=G8</formula>
    </cfRule>
  </conditionalFormatting>
  <conditionalFormatting sqref="E87">
    <cfRule type="expression" dxfId="12" priority="43">
      <formula>$E$87&lt;G10</formula>
    </cfRule>
    <cfRule type="expression" dxfId="11" priority="44">
      <formula>$E$87&gt;=G10</formula>
    </cfRule>
  </conditionalFormatting>
  <conditionalFormatting sqref="E66">
    <cfRule type="expression" dxfId="10" priority="6">
      <formula>E66&lt;G9</formula>
    </cfRule>
    <cfRule type="expression" dxfId="9" priority="7">
      <formula>E66&gt;=G9</formula>
    </cfRule>
  </conditionalFormatting>
  <conditionalFormatting sqref="E64:U64">
    <cfRule type="expression" dxfId="8" priority="47">
      <formula>E$64&gt;=E$38</formula>
    </cfRule>
    <cfRule type="expression" dxfId="7" priority="48">
      <formula>E$64&lt;E$38</formula>
    </cfRule>
  </conditionalFormatting>
  <conditionalFormatting sqref="E106:U106">
    <cfRule type="expression" dxfId="4" priority="49">
      <formula>E$106&gt;=E$42</formula>
    </cfRule>
    <cfRule type="expression" dxfId="3" priority="50">
      <formula>E$106&lt;E$42</formula>
    </cfRule>
  </conditionalFormatting>
  <conditionalFormatting sqref="E85:U85">
    <cfRule type="expression" dxfId="2" priority="2">
      <formula>E$85&lt;E$41</formula>
    </cfRule>
    <cfRule type="expression" dxfId="1" priority="3">
      <formula>E$85&gt;=E$41</formula>
    </cfRule>
  </conditionalFormatting>
  <conditionalFormatting sqref="N8:O10">
    <cfRule type="expression" dxfId="0" priority="1">
      <formula>$N8="Warning"</formula>
    </cfRule>
  </conditionalFormatting>
  <hyperlinks>
    <hyperlink ref="S108" r:id="rId1"/>
  </hyperlinks>
  <printOptions horizontalCentered="1"/>
  <pageMargins left="0.4" right="0.4" top="0.2" bottom="0.2" header="0" footer="0"/>
  <pageSetup scale="60" orientation="landscape" horizontalDpi="4294967292" verticalDpi="4294967292"/>
  <ignoredErrors>
    <ignoredError sqref="E44 E87 E36 C65:C106 C15:C23 C25:C28 C36:C62 C63:C64" emptyCellReference="1"/>
    <ignoredError sqref="E15:U22 F8:F10 L8" unlockedFormula="1"/>
    <ignoredError sqref="E37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F0FF78B-DDA5-E741-ABE5-FE575DBD1D04}">
            <xm:f>NOT($E$36='Annual Capacity Quota &amp; Budget'!$D$6)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5" id="{D7912990-06AB-EA41-9435-D7A35B14B563}">
            <xm:f>$E$36='Annual Capacity Quota &amp; Budget'!$D$6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E36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Capacity Quota &amp; Budget</vt:lpstr>
      <vt:lpstr>Monthly Planning Tool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Zorian</dc:creator>
  <cp:lastModifiedBy>Nicholas Christman</cp:lastModifiedBy>
  <cp:lastPrinted>2013-08-06T15:56:06Z</cp:lastPrinted>
  <dcterms:created xsi:type="dcterms:W3CDTF">2013-07-19T13:18:39Z</dcterms:created>
  <dcterms:modified xsi:type="dcterms:W3CDTF">2013-08-06T17:24:20Z</dcterms:modified>
</cp:coreProperties>
</file>